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55" windowWidth="15600" windowHeight="11190" activeTab="3"/>
  </bookViews>
  <sheets>
    <sheet name="Errata Corrige" sheetId="9" r:id="rId1"/>
    <sheet name="Testo" sheetId="1" r:id="rId2"/>
    <sheet name="Svolgimento " sheetId="6" r:id="rId3"/>
    <sheet name="Scritture contabili" sheetId="7" r:id="rId4"/>
    <sheet name="Slide OIC9" sheetId="8" r:id="rId5"/>
  </sheets>
  <calcPr calcId="145621" iterateDelta="1E-4"/>
</workbook>
</file>

<file path=xl/calcChain.xml><?xml version="1.0" encoding="utf-8"?>
<calcChain xmlns="http://schemas.openxmlformats.org/spreadsheetml/2006/main">
  <c r="H23" i="6" l="1"/>
  <c r="D31" i="6"/>
  <c r="D21" i="6"/>
  <c r="F68" i="7"/>
  <c r="C178" i="6"/>
  <c r="G27" i="1"/>
  <c r="C188" i="6" l="1"/>
  <c r="F66" i="7"/>
  <c r="F64" i="7"/>
  <c r="D24" i="6" s="1"/>
  <c r="D15" i="6"/>
  <c r="H15" i="6"/>
  <c r="E162" i="6"/>
  <c r="E55" i="7" s="1"/>
  <c r="E61" i="7" s="1"/>
  <c r="H16" i="6" s="1"/>
  <c r="E161" i="6"/>
  <c r="E54" i="7" s="1"/>
  <c r="E60" i="7" s="1"/>
  <c r="H14" i="6" s="1"/>
  <c r="C191" i="6" s="1"/>
  <c r="E158" i="6"/>
  <c r="E53" i="7" s="1"/>
  <c r="E59" i="7" s="1"/>
  <c r="E155" i="6"/>
  <c r="E51" i="7" s="1"/>
  <c r="E57" i="7" s="1"/>
  <c r="E156" i="6"/>
  <c r="E52" i="7" s="1"/>
  <c r="E58" i="7" s="1"/>
  <c r="H6" i="6" s="1"/>
  <c r="E154" i="6"/>
  <c r="E50" i="7" s="1"/>
  <c r="C149" i="6"/>
  <c r="F47" i="7" s="1"/>
  <c r="F43" i="7"/>
  <c r="D9" i="6" s="1"/>
  <c r="C143" i="6"/>
  <c r="E45" i="7" s="1"/>
  <c r="H9" i="6" s="1"/>
  <c r="F40" i="7"/>
  <c r="D23" i="6" s="1"/>
  <c r="F38" i="7"/>
  <c r="H22" i="6" s="1"/>
  <c r="C126" i="6"/>
  <c r="C123" i="6" s="1"/>
  <c r="C121" i="6"/>
  <c r="F32" i="7"/>
  <c r="K13" i="6" s="1"/>
  <c r="E30" i="7"/>
  <c r="C98" i="6"/>
  <c r="C102" i="6" s="1"/>
  <c r="E102" i="6" s="1"/>
  <c r="E27" i="7"/>
  <c r="D5" i="6" s="1"/>
  <c r="F19" i="7"/>
  <c r="D20" i="6" s="1"/>
  <c r="C83" i="6"/>
  <c r="F21" i="7" s="1"/>
  <c r="D27" i="6" s="1"/>
  <c r="F4" i="7"/>
  <c r="F6" i="7"/>
  <c r="K12" i="6" s="1"/>
  <c r="C65" i="6"/>
  <c r="D65" i="6" s="1"/>
  <c r="E11" i="7" s="1"/>
  <c r="C38" i="6"/>
  <c r="C41" i="6" s="1"/>
  <c r="D17" i="6" l="1"/>
  <c r="H17" i="6"/>
  <c r="F49" i="7"/>
  <c r="E56" i="7"/>
  <c r="H4" i="6" s="1"/>
  <c r="K4" i="6"/>
  <c r="D115" i="6"/>
  <c r="F35" i="7" s="1"/>
  <c r="H20" i="6" s="1"/>
  <c r="C145" i="6"/>
  <c r="E44" i="7" s="1"/>
  <c r="D28" i="6" s="1"/>
  <c r="K26" i="6"/>
  <c r="K17" i="6"/>
  <c r="F102" i="6"/>
  <c r="F24" i="7" s="1"/>
  <c r="K16" i="6" s="1"/>
  <c r="H24" i="6"/>
  <c r="F8" i="7"/>
  <c r="K15" i="6" s="1"/>
  <c r="C47" i="6"/>
  <c r="E47" i="6" s="1"/>
  <c r="C55" i="6"/>
  <c r="E55" i="6" s="1"/>
  <c r="C51" i="6"/>
  <c r="E51" i="6" s="1"/>
  <c r="C66" i="6"/>
  <c r="D66" i="6" s="1"/>
  <c r="C53" i="6"/>
  <c r="E53" i="6" s="1"/>
  <c r="C49" i="6"/>
  <c r="E49" i="6" s="1"/>
  <c r="C56" i="6"/>
  <c r="E56" i="6" s="1"/>
  <c r="C54" i="6"/>
  <c r="E54" i="6" s="1"/>
  <c r="C52" i="6"/>
  <c r="E52" i="6" s="1"/>
  <c r="C50" i="6"/>
  <c r="E50" i="6" s="1"/>
  <c r="C48" i="6"/>
  <c r="E48" i="6" s="1"/>
  <c r="K21" i="6" l="1"/>
  <c r="E29" i="7"/>
  <c r="G102" i="6"/>
  <c r="H102" i="6" s="1"/>
  <c r="E28" i="7" s="1"/>
  <c r="E57" i="6"/>
  <c r="F14" i="7" s="1"/>
  <c r="D67" i="6"/>
  <c r="F10" i="7" s="1"/>
  <c r="D26" i="6" s="1"/>
  <c r="E12" i="7"/>
  <c r="K27" i="6" s="1"/>
  <c r="H5" i="6" l="1"/>
  <c r="H10" i="6" s="1"/>
  <c r="H31" i="6" s="1"/>
  <c r="F26" i="7"/>
  <c r="K8" i="6"/>
  <c r="D8" i="6"/>
  <c r="D10" i="6" s="1"/>
  <c r="K7" i="6"/>
  <c r="K9" i="6" l="1"/>
  <c r="K23" i="6" s="1"/>
  <c r="K29" i="6" s="1"/>
  <c r="H30" i="6" s="1"/>
  <c r="H32" i="6" l="1"/>
  <c r="C182" i="6"/>
  <c r="C184" i="6" l="1"/>
  <c r="C187" i="6" s="1"/>
  <c r="C189" i="6" s="1"/>
  <c r="C185" i="6" l="1"/>
  <c r="C192" i="6" s="1"/>
</calcChain>
</file>

<file path=xl/sharedStrings.xml><?xml version="1.0" encoding="utf-8"?>
<sst xmlns="http://schemas.openxmlformats.org/spreadsheetml/2006/main" count="360" uniqueCount="242">
  <si>
    <t xml:space="preserve"> Società Alfa Srl bilancio contabile  al 1/1/200n+1</t>
  </si>
  <si>
    <t>ATTIVO</t>
  </si>
  <si>
    <t>PASSIVO</t>
  </si>
  <si>
    <t>Immobilizzazioni Materiali</t>
  </si>
  <si>
    <t>Fabbricati</t>
  </si>
  <si>
    <t>Macch.ri</t>
  </si>
  <si>
    <t>Attrezzatura</t>
  </si>
  <si>
    <t>Impianti</t>
  </si>
  <si>
    <t>Autocarro</t>
  </si>
  <si>
    <t>Immobilizzazioni Immateriali</t>
  </si>
  <si>
    <t>Costi Sviluppo</t>
  </si>
  <si>
    <t>Pubblicità</t>
  </si>
  <si>
    <t>Avviamento</t>
  </si>
  <si>
    <t>Rimanenze</t>
  </si>
  <si>
    <t>Crediti Vs Clienti</t>
  </si>
  <si>
    <t>Fornitori</t>
  </si>
  <si>
    <t>Cassa</t>
  </si>
  <si>
    <t>Banca c/c</t>
  </si>
  <si>
    <t>Banca</t>
  </si>
  <si>
    <t>Mutui/Fin</t>
  </si>
  <si>
    <t>Totale Attivo</t>
  </si>
  <si>
    <t>Totale Passivo</t>
  </si>
  <si>
    <t>A4</t>
  </si>
  <si>
    <t>B6</t>
  </si>
  <si>
    <t>B9</t>
  </si>
  <si>
    <t>C17</t>
  </si>
  <si>
    <t>Immobilizzazioni in corso</t>
  </si>
  <si>
    <t>B10</t>
  </si>
  <si>
    <t>A5</t>
  </si>
  <si>
    <t>Crediti diversi</t>
  </si>
  <si>
    <t>B11</t>
  </si>
  <si>
    <t>A1</t>
  </si>
  <si>
    <t>Ratei attivi</t>
  </si>
  <si>
    <t>Costo del lavoro</t>
  </si>
  <si>
    <t>MateriePrime</t>
  </si>
  <si>
    <t>Amm.to attrezzatura</t>
  </si>
  <si>
    <t>Interessi passivi</t>
  </si>
  <si>
    <t>VNC</t>
  </si>
  <si>
    <t>Plusvalenza</t>
  </si>
  <si>
    <t>1.</t>
  </si>
  <si>
    <t>F.do Amm.to Immobilizzazioni Materiali</t>
  </si>
  <si>
    <t>F.do Amm.to Immobilizzazioni Immateriali</t>
  </si>
  <si>
    <t>Banca c/c attivo</t>
  </si>
  <si>
    <t>Patrimonio Netto</t>
  </si>
  <si>
    <t>Capitale Sociale</t>
  </si>
  <si>
    <t>Riserva Legale</t>
  </si>
  <si>
    <t>Costi diretti capitalizzati:</t>
  </si>
  <si>
    <t>Oneri finanziari capitalizzati:</t>
  </si>
  <si>
    <t>Marzo</t>
  </si>
  <si>
    <t xml:space="preserve">Aprile </t>
  </si>
  <si>
    <t>Maggio</t>
  </si>
  <si>
    <t>Giugno</t>
  </si>
  <si>
    <t>Luglio</t>
  </si>
  <si>
    <t>Agosto</t>
  </si>
  <si>
    <t>Settembre</t>
  </si>
  <si>
    <t>Ottobre</t>
  </si>
  <si>
    <t>Novembre</t>
  </si>
  <si>
    <t>Dicembre</t>
  </si>
  <si>
    <t>Totale oneri finanziari capitalizzati</t>
  </si>
  <si>
    <t>Mese sostenimento costo</t>
  </si>
  <si>
    <t>Importo*</t>
  </si>
  <si>
    <r>
      <t xml:space="preserve">*si assume per semplificazione che i costi del personale dipendente e delle materie prime vengano </t>
    </r>
    <r>
      <rPr>
        <b/>
        <sz val="11"/>
        <color theme="1"/>
        <rFont val="Calibri"/>
        <family val="2"/>
        <scheme val="minor"/>
      </rPr>
      <t>effettivamente sostenuti</t>
    </r>
    <r>
      <rPr>
        <sz val="11"/>
        <color theme="1"/>
        <rFont val="Calibri"/>
        <family val="2"/>
        <scheme val="minor"/>
      </rPr>
      <t xml:space="preserve"> in maniera costante per il periodo di costruzione</t>
    </r>
  </si>
  <si>
    <t>Mesi capitalizzazione</t>
  </si>
  <si>
    <t>Mutui passivi</t>
  </si>
  <si>
    <t>Diversi</t>
  </si>
  <si>
    <t>@</t>
  </si>
  <si>
    <t>Parziali</t>
  </si>
  <si>
    <t>Totali</t>
  </si>
  <si>
    <t>DARE</t>
  </si>
  <si>
    <t>AVERE</t>
  </si>
  <si>
    <t>1*.</t>
  </si>
  <si>
    <t>*</t>
  </si>
  <si>
    <t>Accensione mutuo</t>
  </si>
  <si>
    <t>Acquisto e pagamento materie prime</t>
  </si>
  <si>
    <t xml:space="preserve">Rilevazione e liquidazione costo del personale </t>
  </si>
  <si>
    <t>Rimborso rate mutuo (quota capitale e quota interessi)</t>
  </si>
  <si>
    <t>Capitalizzazione macchinario (costi diretti + oneri finanziari)</t>
  </si>
  <si>
    <t>Commenti</t>
  </si>
  <si>
    <t>Macchinari</t>
  </si>
  <si>
    <t>Fondo Svalutazione OIC 9</t>
  </si>
  <si>
    <t>Utile di esercizio</t>
  </si>
  <si>
    <t>Rimborso mutuo:</t>
  </si>
  <si>
    <t>quota capitale</t>
  </si>
  <si>
    <t>quota interessi</t>
  </si>
  <si>
    <t>Mutuo originario</t>
  </si>
  <si>
    <t>Durata in mesi</t>
  </si>
  <si>
    <t>Tasso interessi</t>
  </si>
  <si>
    <t>Totale</t>
  </si>
  <si>
    <t>Rata</t>
  </si>
  <si>
    <t xml:space="preserve">A4 - Incrementi di imm.ni </t>
  </si>
  <si>
    <t>C17 - Interessi passivi</t>
  </si>
  <si>
    <t>B6 - Materie prime c/acquisti</t>
  </si>
  <si>
    <t>B9 - Costo per il personale</t>
  </si>
  <si>
    <t>Per esemplificazione è stata effettuata un'unica registrazione per i pagamenti di Materie Prime e Personale anche se nello svolgimento dell'esercitazione questi vengono pagati in maniera costante durante la durata della costruzione del macchinario. Inoltre l'ammortamento viene rilevato alla fine dell'esercizio</t>
  </si>
  <si>
    <t>Conto Economico</t>
  </si>
  <si>
    <t>A2</t>
  </si>
  <si>
    <t>A3</t>
  </si>
  <si>
    <t>B7</t>
  </si>
  <si>
    <t>B8</t>
  </si>
  <si>
    <t>B12</t>
  </si>
  <si>
    <t>B13</t>
  </si>
  <si>
    <t>B14</t>
  </si>
  <si>
    <t>Valore della produzione</t>
  </si>
  <si>
    <t>C15</t>
  </si>
  <si>
    <t>C16</t>
  </si>
  <si>
    <t>check</t>
  </si>
  <si>
    <t>2.</t>
  </si>
  <si>
    <t>Crediti v/clienti</t>
  </si>
  <si>
    <t>Credito concesso</t>
  </si>
  <si>
    <t>Interessi maturati nell'anno</t>
  </si>
  <si>
    <t>Calcolati in base ai giorni per l'iscrizione del rateo attivo</t>
  </si>
  <si>
    <t>Per semplicità l'iscrizione del credito non è stata effettuata sulla base del costo ammortizzato</t>
  </si>
  <si>
    <t>La classificazione dei crediti tra l'attivo circolante e le immobilizzazioni finanziarie non è effettuata sul criterio finanziario (cioè scadenza entro o oltre l'esercizio) ma sulla base sul criterio della destinazione rispetto all'attività ordinaria. (OIC 15 par. 8). Nel nostro caso si decide per iscrivere il credito tra le immobilizzazioni finanziarie.</t>
  </si>
  <si>
    <t>Crediti v/altri</t>
  </si>
  <si>
    <t>Interessi attivi</t>
  </si>
  <si>
    <t xml:space="preserve">Incasso crediti da clienti </t>
  </si>
  <si>
    <t>Erogazione finanziamento al Consigliere</t>
  </si>
  <si>
    <t>Rilevazione del rateo attivo per interessi maturati</t>
  </si>
  <si>
    <t>3.</t>
  </si>
  <si>
    <t xml:space="preserve">Per effetto delle modifiche intervenute con il D.Lgs 139/2015 non saranno più presenti i conti d'ordine; le informazioni andranno inserite in nota integrativa.  </t>
  </si>
  <si>
    <t>Nessuna rilevazione da effettuare</t>
  </si>
  <si>
    <t>4.</t>
  </si>
  <si>
    <t>Calcolo plusvalenza da cessione:</t>
  </si>
  <si>
    <t>Costo Storico</t>
  </si>
  <si>
    <t>Fondo Ammortamento</t>
  </si>
  <si>
    <t xml:space="preserve">Calcolo Amm.to pro rata </t>
  </si>
  <si>
    <t>Situazione al 31.12.2015</t>
  </si>
  <si>
    <t>Situazione al 30.08.2016</t>
  </si>
  <si>
    <t>Prezzo di cessione</t>
  </si>
  <si>
    <t xml:space="preserve">Spese ricerca </t>
  </si>
  <si>
    <t>B10.b - Amm.to Macchinari</t>
  </si>
  <si>
    <t>Fondo Amm.to Macchinari</t>
  </si>
  <si>
    <t>Ammortamento pro rata temporis del Macchinario</t>
  </si>
  <si>
    <t>A5 - Plusvalenza cessione Macc.ri</t>
  </si>
  <si>
    <t>F.do Amm.to pre esistente</t>
  </si>
  <si>
    <t>B7 - Costi per servizi</t>
  </si>
  <si>
    <t>Cessione del macchinario con rilevazione plusvalenza</t>
  </si>
  <si>
    <t>Sostenimento spese di ricerca</t>
  </si>
  <si>
    <t>5.</t>
  </si>
  <si>
    <t>Determinazione perdita di valore:</t>
  </si>
  <si>
    <t>Valore Netto Contabile (VNC)</t>
  </si>
  <si>
    <t>Valore d'uso</t>
  </si>
  <si>
    <t>Valore Equo</t>
  </si>
  <si>
    <t>Oneri di dismissione</t>
  </si>
  <si>
    <t>Costo storico</t>
  </si>
  <si>
    <t>Valore recuperabile:</t>
  </si>
  <si>
    <t>B10.c - altre svalutazioni imm.ni</t>
  </si>
  <si>
    <t>Fondo Svalutazione Impianti</t>
  </si>
  <si>
    <t>Perdita durevole di valore OIC 9</t>
  </si>
  <si>
    <t>6.</t>
  </si>
  <si>
    <t>La società iscrive le merci in viaggio tra le rimanenze in quanto vi è stato il passaggio di proprietà</t>
  </si>
  <si>
    <t>Merci in viaggio</t>
  </si>
  <si>
    <t>Debiti v/fornitori</t>
  </si>
  <si>
    <t>Rimanenze MP</t>
  </si>
  <si>
    <t xml:space="preserve">B11 - Variazione rimanenze </t>
  </si>
  <si>
    <t>Rilevazione fattura fornitore</t>
  </si>
  <si>
    <t>Rilevazione rimanenze merci in viaggio</t>
  </si>
  <si>
    <t>7.</t>
  </si>
  <si>
    <t>Autocarro:</t>
  </si>
  <si>
    <t>Autocarro (attivo circolante)</t>
  </si>
  <si>
    <t>Autocarri</t>
  </si>
  <si>
    <t>Fondo Amm.to Autocarri</t>
  </si>
  <si>
    <t>Valore netto contabile riclass.</t>
  </si>
  <si>
    <t>Immobilizzazioni Finanziarie</t>
  </si>
  <si>
    <t>Rilevazioni di fine esercizio:</t>
  </si>
  <si>
    <t>Spese di pubblicità</t>
  </si>
  <si>
    <t>Ammortamenti:</t>
  </si>
  <si>
    <t>Riclassificazione Autocarro destinato alla vendita</t>
  </si>
  <si>
    <t>Aliquota</t>
  </si>
  <si>
    <t>Costo</t>
  </si>
  <si>
    <t>Non ammortizzati (cfr. 5)</t>
  </si>
  <si>
    <t>interamente spesate</t>
  </si>
  <si>
    <t>Amm.to</t>
  </si>
  <si>
    <t>Eliminazione spese di pubblicità capitalizzate</t>
  </si>
  <si>
    <t>Fondo Amm.to Fabbricati</t>
  </si>
  <si>
    <t>Fondo Amm.to Attrezzatura</t>
  </si>
  <si>
    <t>Fondo Amm.to Autocarro</t>
  </si>
  <si>
    <t>Fondo Amm.to Costi Sviluppo</t>
  </si>
  <si>
    <t>Fondo Amm.to Avviamento</t>
  </si>
  <si>
    <t>Rilevazione Ammortamenti</t>
  </si>
  <si>
    <t>B10.b - Amm.to Fabbricati</t>
  </si>
  <si>
    <t>B10.b - Amm.to Attrezzatura</t>
  </si>
  <si>
    <t>B10.b - Amm.to Autocarro</t>
  </si>
  <si>
    <t>B10.a - Amm.to Costi Sviluppo</t>
  </si>
  <si>
    <t>B10.a - Amm.to Avviamento</t>
  </si>
  <si>
    <t>8.</t>
  </si>
  <si>
    <t>Si rilevano le fatture da emettere e da ricevere</t>
  </si>
  <si>
    <t>Fatture da emettere</t>
  </si>
  <si>
    <t>Fatture da ricevere</t>
  </si>
  <si>
    <t xml:space="preserve">Crediti v/clienti </t>
  </si>
  <si>
    <t>A1 - Ricavi delle vendite</t>
  </si>
  <si>
    <t>Rilevazione fatture da emettere</t>
  </si>
  <si>
    <t>Rilevazione fatture da ricevere</t>
  </si>
  <si>
    <t>Costi della produzione</t>
  </si>
  <si>
    <t>A- B</t>
  </si>
  <si>
    <t>B10.c  - Spese di pubblicità</t>
  </si>
  <si>
    <t xml:space="preserve">In merito alla distribuzione dell'utile di esercizio si ricorda quanto prescritto dall'articolo 2426 n.5 </t>
  </si>
  <si>
    <t>Riserva legale (5% obbligatorio)</t>
  </si>
  <si>
    <t>Riserva legale post acc.to</t>
  </si>
  <si>
    <t>Quinto del capitale sociale</t>
  </si>
  <si>
    <t xml:space="preserve">Quota distribuibile </t>
  </si>
  <si>
    <t xml:space="preserve">Oneri pluriennali </t>
  </si>
  <si>
    <t>Utile residuo post ris. Legale</t>
  </si>
  <si>
    <t>Utile distribuibile</t>
  </si>
  <si>
    <t>Aspetto Fiscale:</t>
  </si>
  <si>
    <t>Il principio contabile OIC 16 al paragrafo 72 prevede che per i cespiti destinati alla vendita vengano riclassificati nell'attivo circolante e ne sia sospeso l'ammortamento. Tra le rilevazioni da effettuare a fine esercizio si devono rilevare gli ammortamenti e spesare interamente i costi di pubblicità capitalizzati a seguito della modifica intervenuta con il D.Lgs 139/2015</t>
  </si>
  <si>
    <t>a. Interruzione del processo di ammortamento anche ai fini fiscali. Ai sensi dell’art. 109, comma 4 del TUIR, i componenti negativi sono deducibili soltanto se previamente imputati a conto economico nell’esercizio di competenza.</t>
  </si>
  <si>
    <t>b. Le immobilizzazioni destinate alla vendita riclassificate nell’attivo circolante non assumono rilevanza ai fini del «test di operatività» che interessa le società di comodo.</t>
  </si>
  <si>
    <t>a. Rilevanza fiscale della quota di amm.to dell’esercizio di alienazione. L’ammortamento pro-rata relativo all’esercizio in corso al momento dell’alienazione assume rilevanza anche ai fini fiscali. L’iscrizione della quota di ammortamento dei cespiti alienati maturata nella frazione di esercizio produce anche la rilevazione di una corretta plusvalenza/minusvalenza. (Ris. n. 41/E, 12 febbraio 2002)</t>
  </si>
  <si>
    <t>b. Impatto sulla base imponibile in caso di rateazione della plusvalenza:  Rispetto alla mancata effettuazione dell’ammortamento non c’è impatto se la plusvalenza viene interamente tassata; c’è impatto in caso di rateazione della plusvalenza (art. 86, comma 4 del Tuir).</t>
  </si>
  <si>
    <t>c. Con l'eliminazione della gestione straordinaria tutte le cessioni avranno impatto sulla determinazione del ROL rilevante ai fini del calcolo della deducibilità degli interessi passivi deducibili. Inoltre avrenno rilevanza anche ai fini IRAP.</t>
  </si>
  <si>
    <t>a. Ai sensi dell’art. 110, comma 1, lett. b) del TUIR si comprendono nel costo dei beni gli interessi passivi iscritti in bilancio ad aumento del costo stesso per effetto di disposizioni di legge.</t>
  </si>
  <si>
    <t>b. Gli interessi passivi capitalizzati non rientrano nel campo di applicazione dell'art. 96 del Tuir</t>
  </si>
  <si>
    <t>c. Ampliamento del plafond di deducibilità degli oneri finanziari in quanto la rilevazione in A4 in crementa il valore del ROL.</t>
  </si>
  <si>
    <t>d. Disallineamento temporale ai fini IRAP tra tassazione e deducibilità degli oneri capitalizzati La capitalizzazione determina una posticipazione della deduzione dei costi sotto forma di futuri ammortamenti a partire dall’esercizio in cui il bene sarà ultimato.</t>
  </si>
  <si>
    <t>Deducibilità interessi passivi      -&gt;</t>
  </si>
  <si>
    <t xml:space="preserve">Cessione Macchinario                   -&gt; </t>
  </si>
  <si>
    <t xml:space="preserve">Riclassifica Autocarro                    -&gt; </t>
  </si>
  <si>
    <t>Ammortamenti                                -&gt;</t>
  </si>
  <si>
    <t xml:space="preserve">Il principio contabile OIC 16 al paragrafo 31 prevede la capitalizzazione dei costi sostenuti per la costruzione in economia di un immobilizzazione materiale. Oltre i costi diretti, rappresentati nel caso di specie dai costi per il personale, dall'acquisto delle materie prime e dall'utilizzo di un cespite (ammortamento attrezzatura), si procede alla capitalizzazione degli interessi passivi (sia per finan.ti specifici che generici) effettivamente sostenuti per la costruzione di quel bene (cfr. par. 33 - 36 OIC 16). </t>
  </si>
  <si>
    <t>Art. 96 del Testo Unico delle Imposte sui Redditi (Tuir)</t>
  </si>
  <si>
    <t xml:space="preserve">Capitalizzazione oneri finanz.ri -&gt; </t>
  </si>
  <si>
    <t>Il principio contabile OIC 16 al paragrafo 74 prevede che qualora un'immobilizzazione venga venduta in corso d'anno occorre rilevare la quota di ammortamento del periodo compreso tra l'inizio dell'esercizio e la data di cessione. Per effetto delle modifiche intervenute con il D.Lgs 139/2015 non sono più capitalizzabili le spese di ricerca e non esiste più la gestione straordinaria.</t>
  </si>
  <si>
    <t>Il principio contabile OIC 9 prevede che nel caso esistano indicatori di potenziali perdite di valore di un cespite gli Amministratori devono procedere alla svalutazione (cfr. slide inserite nel file). Gli ammortamenti sono interrotti.</t>
  </si>
  <si>
    <t xml:space="preserve">Interruzione Ammortamento     -&gt; </t>
  </si>
  <si>
    <t>Acc.to Fondo Sval.ne Impianti    -&gt;</t>
  </si>
  <si>
    <t>Ai sensi dell'art. 107 comma del Tuir non sono ammesse deduzioni per accantonamenti diversi da quelli espressamente disciplinati.</t>
  </si>
  <si>
    <t>Attenzione ad aliquote ministeriali massime consentite (art. 102, comma 2 del Tuir).</t>
  </si>
  <si>
    <t>a. Ai sensi del principio di previa imputazione a conto economico introdotto dall’art. 109, comma 4, del TUIR, l’ammortamento deducibile ai fini fiscali risulta inferiore a quello teoricamente ammesso dall'applicazione dell’aliquota ordinaria. E' possibile effettuare una variazione in diminuzione fino all'importo della svalutazione effettuata e non oltre.</t>
  </si>
  <si>
    <t>b. Il valore fiscale del bene non ammortizzato nel corso degli esercizi sarà recuperato al momento dell’alienazione, attraverso l’assoggettamento a tassazione di una minor plusvalenza.</t>
  </si>
  <si>
    <t>Si segnala cherispetto allo svolgimento del punto n. 7 effettuato in classe sono state apportate modifiche alle seguenti operazioni:</t>
  </si>
  <si>
    <r>
      <t>1.</t>
    </r>
    <r>
      <rPr>
        <b/>
        <sz val="11"/>
        <color theme="1"/>
        <rFont val="Calibri"/>
        <family val="2"/>
        <scheme val="minor"/>
      </rPr>
      <t xml:space="preserve"> eliminazione voce spese di pubblicità capitalizzate:</t>
    </r>
    <r>
      <rPr>
        <sz val="11"/>
        <color theme="1"/>
        <rFont val="Calibri"/>
        <family val="2"/>
        <scheme val="minor"/>
      </rPr>
      <t xml:space="preserve"> non era stato chiuso il relativo fondo. Impatto a conto economico di € 20.000 in aumento</t>
    </r>
  </si>
  <si>
    <r>
      <t>2.</t>
    </r>
    <r>
      <rPr>
        <b/>
        <sz val="11"/>
        <color theme="1"/>
        <rFont val="Calibri"/>
        <family val="2"/>
        <scheme val="minor"/>
      </rPr>
      <t xml:space="preserve"> riclassifica autocarro</t>
    </r>
    <r>
      <rPr>
        <sz val="11"/>
        <color theme="1"/>
        <rFont val="Calibri"/>
        <family val="2"/>
        <scheme val="minor"/>
      </rPr>
      <t>: era stata riclassificata l'intera voce presente in bilancio ad inizio esercizio. Il testo specificava che soltanto un autocarro dal c.s. di 65.000€ sarebbe stato venduto.  Impatto a conto economico per € 13.000 di ammortamento in diminuzione</t>
    </r>
  </si>
  <si>
    <t>Effetto sull'utile di esercizio: + € 7000</t>
  </si>
  <si>
    <t>Altri titoli</t>
  </si>
  <si>
    <t>Riserva Straord.</t>
  </si>
  <si>
    <t>Riserva Straordinaria</t>
  </si>
  <si>
    <t>9.</t>
  </si>
  <si>
    <t>B)III-3) Altri titoli</t>
  </si>
  <si>
    <t>Si rileva l'acquisto delle 1.000 obbligazioni</t>
  </si>
  <si>
    <t>Rilevazione acquisto obbligazioni</t>
  </si>
  <si>
    <t>(su tale voce non è possibile capitalizzare interessi - non c'è esborso finanziario)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</si>
</sst>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quot;€&quot;\ * #,##0.00_-;_-&quot;€&quot;\ * &quot;-&quot;??_-;_-@_-"/>
    <numFmt numFmtId="43" formatCode="_-* #,##0.00_-;\-* #,##0.00_-;_-* &quot;-&quot;??_-;_-@_-"/>
    <numFmt numFmtId="164" formatCode="&quot; &quot;#,##0&quot; &quot;;&quot;-&quot;#,##0&quot; &quot;;&quot; -&quot;#&quot; &quot;;&quot; &quot;@&quot; &quot;"/>
    <numFmt numFmtId="165" formatCode="&quot; &quot;#,##0.00&quot; &quot;;&quot;-&quot;#,##0.00&quot; &quot;;&quot; -&quot;#&quot; &quot;;&quot; &quot;@&quot; &quot;"/>
    <numFmt numFmtId="166" formatCode="[$-410]General"/>
    <numFmt numFmtId="167" formatCode="[$€-410]&quot; &quot;#,##0.00;[Red]&quot;-&quot;[$€-410]&quot; &quot;#,##0.00"/>
    <numFmt numFmtId="168" formatCode="_-* #,##0_-;\-* #,##0_-;_-* &quot;-&quot;??_-;_-@_-"/>
  </numFmts>
  <fonts count="26"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i/>
      <sz val="16"/>
      <color theme="1"/>
      <name val="Arial"/>
      <family val="2"/>
    </font>
    <font>
      <b/>
      <i/>
      <u/>
      <sz val="11"/>
      <color theme="1"/>
      <name val="Arial"/>
      <family val="2"/>
    </font>
    <font>
      <b/>
      <sz val="12"/>
      <color rgb="FF0070C0"/>
      <name val="Calibri"/>
      <family val="2"/>
    </font>
    <font>
      <b/>
      <sz val="11"/>
      <color rgb="FF000000"/>
      <name val="Calibri"/>
      <family val="2"/>
    </font>
    <font>
      <b/>
      <i/>
      <sz val="11"/>
      <color rgb="FF000000"/>
      <name val="Calibri"/>
      <family val="2"/>
    </font>
    <font>
      <i/>
      <sz val="11"/>
      <color rgb="FF000000"/>
      <name val="Calibri"/>
      <family val="2"/>
    </font>
    <font>
      <b/>
      <sz val="11"/>
      <color rgb="FFC00000"/>
      <name val="Calibri"/>
      <family val="2"/>
    </font>
    <font>
      <b/>
      <sz val="11"/>
      <color rgb="FF000000"/>
      <name val="Calibri"/>
      <family val="2"/>
      <scheme val="minor"/>
    </font>
    <font>
      <sz val="11"/>
      <color rgb="FF000000"/>
      <name val="Calibri"/>
      <family val="2"/>
      <scheme val="minor"/>
    </font>
    <font>
      <b/>
      <i/>
      <sz val="11"/>
      <color rgb="FF000000"/>
      <name val="Calibri"/>
      <family val="2"/>
      <scheme val="minor"/>
    </font>
    <font>
      <b/>
      <sz val="11"/>
      <color rgb="FFC00000"/>
      <name val="Calibri"/>
      <family val="2"/>
      <scheme val="minor"/>
    </font>
    <font>
      <sz val="11"/>
      <color theme="1"/>
      <name val="Arial"/>
      <family val="2"/>
    </font>
    <font>
      <b/>
      <sz val="11"/>
      <color theme="1"/>
      <name val="Calibri"/>
      <family val="2"/>
      <scheme val="minor"/>
    </font>
    <font>
      <i/>
      <sz val="11"/>
      <color theme="1"/>
      <name val="Calibri"/>
      <family val="2"/>
      <scheme val="minor"/>
    </font>
    <font>
      <b/>
      <sz val="11"/>
      <color rgb="FF0070C0"/>
      <name val="Calibri"/>
      <family val="2"/>
      <scheme val="minor"/>
    </font>
    <font>
      <b/>
      <i/>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43" fontId="8" fillId="0" borderId="0" applyFont="0" applyFill="0" applyBorder="0" applyAlignment="0" applyProtection="0"/>
    <xf numFmtId="165" fontId="9" fillId="0" borderId="0"/>
    <xf numFmtId="166" fontId="9" fillId="0" borderId="0"/>
    <xf numFmtId="0" fontId="10" fillId="0" borderId="0">
      <alignment horizontal="center"/>
    </xf>
    <xf numFmtId="0" fontId="10" fillId="0" borderId="0">
      <alignment horizontal="center" textRotation="90"/>
    </xf>
    <xf numFmtId="0" fontId="11" fillId="0" borderId="0"/>
    <xf numFmtId="167" fontId="11" fillId="0" borderId="0"/>
    <xf numFmtId="44" fontId="21" fillId="0" borderId="0" applyFont="0" applyFill="0" applyBorder="0" applyAlignment="0" applyProtection="0"/>
    <xf numFmtId="9" fontId="21" fillId="0" borderId="0" applyFont="0" applyFill="0" applyBorder="0" applyAlignment="0" applyProtection="0"/>
  </cellStyleXfs>
  <cellXfs count="130">
    <xf numFmtId="0" fontId="0" fillId="0" borderId="0" xfId="0"/>
    <xf numFmtId="166" fontId="12" fillId="0" borderId="0" xfId="3" applyFont="1"/>
    <xf numFmtId="164" fontId="12" fillId="0" borderId="0" xfId="2" applyNumberFormat="1" applyFont="1" applyFill="1" applyBorder="1" applyAlignment="1" applyProtection="1"/>
    <xf numFmtId="166" fontId="9" fillId="0" borderId="0" xfId="3"/>
    <xf numFmtId="164" fontId="9" fillId="0" borderId="0" xfId="2" applyNumberFormat="1" applyFont="1" applyFill="1" applyBorder="1" applyAlignment="1" applyProtection="1"/>
    <xf numFmtId="166" fontId="13" fillId="0" borderId="0" xfId="3" applyFont="1"/>
    <xf numFmtId="164" fontId="13" fillId="0" borderId="0" xfId="2" applyNumberFormat="1" applyFont="1" applyFill="1" applyBorder="1" applyAlignment="1" applyProtection="1"/>
    <xf numFmtId="166" fontId="14" fillId="0" borderId="0" xfId="3" applyFont="1"/>
    <xf numFmtId="166" fontId="15" fillId="0" borderId="0" xfId="3" applyFont="1"/>
    <xf numFmtId="164" fontId="15" fillId="0" borderId="0" xfId="2" applyNumberFormat="1" applyFont="1" applyFill="1" applyBorder="1" applyAlignment="1" applyProtection="1"/>
    <xf numFmtId="164" fontId="9" fillId="0" borderId="0" xfId="3" applyNumberFormat="1"/>
    <xf numFmtId="164" fontId="9" fillId="0" borderId="1" xfId="2" applyNumberFormat="1" applyFont="1" applyFill="1" applyBorder="1" applyAlignment="1" applyProtection="1"/>
    <xf numFmtId="166" fontId="16" fillId="0" borderId="0" xfId="3" applyFont="1"/>
    <xf numFmtId="164" fontId="16" fillId="0" borderId="0" xfId="2" applyNumberFormat="1" applyFont="1" applyFill="1" applyBorder="1" applyAlignment="1" applyProtection="1"/>
    <xf numFmtId="165" fontId="9" fillId="0" borderId="0" xfId="2" applyFont="1" applyFill="1" applyBorder="1" applyAlignment="1" applyProtection="1"/>
    <xf numFmtId="164" fontId="9" fillId="0" borderId="2" xfId="2" applyNumberFormat="1" applyFont="1" applyFill="1" applyBorder="1" applyAlignment="1" applyProtection="1"/>
    <xf numFmtId="168" fontId="17" fillId="0" borderId="0" xfId="1" applyNumberFormat="1" applyFont="1"/>
    <xf numFmtId="168" fontId="18" fillId="0" borderId="0" xfId="1" applyNumberFormat="1" applyFont="1"/>
    <xf numFmtId="168" fontId="18" fillId="0" borderId="0" xfId="1" applyNumberFormat="1" applyFont="1" applyFill="1" applyBorder="1" applyAlignment="1" applyProtection="1"/>
    <xf numFmtId="168" fontId="17" fillId="0" borderId="0" xfId="1" applyNumberFormat="1" applyFont="1" applyFill="1" applyBorder="1" applyAlignment="1" applyProtection="1"/>
    <xf numFmtId="168" fontId="7" fillId="0" borderId="0" xfId="1" applyNumberFormat="1" applyFont="1"/>
    <xf numFmtId="168" fontId="18" fillId="0" borderId="1" xfId="1" applyNumberFormat="1" applyFont="1" applyFill="1" applyBorder="1" applyAlignment="1" applyProtection="1"/>
    <xf numFmtId="168" fontId="20" fillId="0" borderId="0" xfId="1" applyNumberFormat="1" applyFont="1" applyFill="1" applyBorder="1" applyAlignment="1" applyProtection="1"/>
    <xf numFmtId="168" fontId="6" fillId="0" borderId="0" xfId="1" applyNumberFormat="1" applyFont="1"/>
    <xf numFmtId="168" fontId="6" fillId="0" borderId="0" xfId="1" applyNumberFormat="1" applyFont="1" applyAlignment="1">
      <alignment horizontal="center"/>
    </xf>
    <xf numFmtId="168" fontId="7" fillId="0" borderId="0" xfId="1" applyNumberFormat="1" applyFont="1" applyAlignment="1">
      <alignment horizontal="center"/>
    </xf>
    <xf numFmtId="168" fontId="22" fillId="0" borderId="0" xfId="1" applyNumberFormat="1" applyFont="1"/>
    <xf numFmtId="168" fontId="7" fillId="0" borderId="0" xfId="1" applyNumberFormat="1" applyFont="1" applyAlignment="1">
      <alignment horizontal="center" vertical="center"/>
    </xf>
    <xf numFmtId="168" fontId="22" fillId="0" borderId="0" xfId="1" applyNumberFormat="1" applyFont="1" applyAlignment="1">
      <alignment horizontal="center"/>
    </xf>
    <xf numFmtId="168" fontId="22" fillId="0" borderId="0" xfId="1" applyNumberFormat="1" applyFont="1" applyAlignment="1">
      <alignment horizontal="left" vertical="top"/>
    </xf>
    <xf numFmtId="168" fontId="22" fillId="0" borderId="0" xfId="1" applyNumberFormat="1" applyFont="1" applyAlignment="1">
      <alignment horizontal="center" vertical="center"/>
    </xf>
    <xf numFmtId="168" fontId="6" fillId="0" borderId="0" xfId="1" applyNumberFormat="1" applyFont="1" applyAlignment="1">
      <alignment vertical="center"/>
    </xf>
    <xf numFmtId="168" fontId="6" fillId="0" borderId="0" xfId="1" applyNumberFormat="1" applyFont="1" applyAlignment="1">
      <alignment horizontal="center" vertical="center"/>
    </xf>
    <xf numFmtId="168" fontId="7" fillId="0" borderId="0" xfId="1" applyNumberFormat="1" applyFont="1" applyAlignment="1">
      <alignment horizontal="right" vertical="top"/>
    </xf>
    <xf numFmtId="168" fontId="19" fillId="0" borderId="0" xfId="1" applyNumberFormat="1" applyFont="1"/>
    <xf numFmtId="168" fontId="6" fillId="0" borderId="3" xfId="1" applyNumberFormat="1" applyFont="1" applyBorder="1" applyAlignment="1">
      <alignment horizontal="center" vertical="center" wrapText="1"/>
    </xf>
    <xf numFmtId="168" fontId="6" fillId="0" borderId="0" xfId="1" applyNumberFormat="1" applyFont="1" applyBorder="1"/>
    <xf numFmtId="168" fontId="23" fillId="0" borderId="0" xfId="1" applyNumberFormat="1" applyFont="1" applyBorder="1"/>
    <xf numFmtId="3" fontId="23" fillId="0" borderId="0" xfId="8" applyNumberFormat="1" applyFont="1" applyBorder="1" applyAlignment="1">
      <alignment horizontal="center" vertical="center"/>
    </xf>
    <xf numFmtId="3" fontId="6" fillId="0" borderId="0" xfId="8" applyNumberFormat="1" applyFont="1" applyBorder="1" applyAlignment="1">
      <alignment horizontal="center" vertical="center"/>
    </xf>
    <xf numFmtId="9" fontId="6" fillId="0" borderId="0" xfId="9" applyFont="1"/>
    <xf numFmtId="10" fontId="6" fillId="0" borderId="0" xfId="9" applyNumberFormat="1" applyFont="1" applyAlignment="1">
      <alignment horizontal="center" vertical="center"/>
    </xf>
    <xf numFmtId="168" fontId="22" fillId="0" borderId="0" xfId="1" applyNumberFormat="1" applyFont="1" applyBorder="1" applyAlignment="1">
      <alignment horizontal="center" vertical="center"/>
    </xf>
    <xf numFmtId="10" fontId="6" fillId="0" borderId="0" xfId="9" applyNumberFormat="1" applyFont="1" applyBorder="1" applyAlignment="1">
      <alignment horizontal="center" vertical="center"/>
    </xf>
    <xf numFmtId="10" fontId="6" fillId="0" borderId="0" xfId="9" applyNumberFormat="1" applyFont="1" applyBorder="1" applyAlignment="1">
      <alignment horizontal="left" vertical="center"/>
    </xf>
    <xf numFmtId="168" fontId="6" fillId="0" borderId="0" xfId="1" applyNumberFormat="1" applyFont="1" applyBorder="1" applyAlignment="1">
      <alignment horizontal="center" vertical="center"/>
    </xf>
    <xf numFmtId="168" fontId="22" fillId="0" borderId="0" xfId="1" applyNumberFormat="1" applyFont="1" applyBorder="1"/>
    <xf numFmtId="168" fontId="18" fillId="0" borderId="0" xfId="1" applyNumberFormat="1" applyFont="1" applyBorder="1"/>
    <xf numFmtId="168" fontId="18" fillId="0" borderId="0" xfId="1" applyNumberFormat="1" applyFont="1" applyBorder="1" applyAlignment="1">
      <alignment horizontal="center"/>
    </xf>
    <xf numFmtId="168" fontId="24" fillId="0" borderId="0" xfId="1" applyNumberFormat="1" applyFont="1"/>
    <xf numFmtId="168" fontId="24" fillId="0" borderId="0" xfId="1" applyNumberFormat="1" applyFont="1" applyFill="1" applyBorder="1" applyAlignment="1" applyProtection="1"/>
    <xf numFmtId="168" fontId="22" fillId="0" borderId="0" xfId="1" applyNumberFormat="1" applyFont="1" applyAlignment="1">
      <alignment horizontal="right" vertical="top"/>
    </xf>
    <xf numFmtId="168" fontId="6" fillId="0" borderId="2" xfId="1" applyNumberFormat="1" applyFont="1" applyBorder="1"/>
    <xf numFmtId="168" fontId="6" fillId="0" borderId="3" xfId="1" applyNumberFormat="1" applyFont="1" applyBorder="1" applyAlignment="1">
      <alignment horizontal="center" vertical="center"/>
    </xf>
    <xf numFmtId="168" fontId="6" fillId="0" borderId="3" xfId="1" applyNumberFormat="1" applyFont="1" applyBorder="1"/>
    <xf numFmtId="0" fontId="6" fillId="0" borderId="3" xfId="1" applyNumberFormat="1" applyFont="1" applyBorder="1" applyAlignment="1">
      <alignment horizontal="center" vertical="center"/>
    </xf>
    <xf numFmtId="10" fontId="6" fillId="0" borderId="0" xfId="9" applyNumberFormat="1" applyFont="1"/>
    <xf numFmtId="168" fontId="6" fillId="0" borderId="3" xfId="1" applyNumberFormat="1" applyFont="1" applyBorder="1" applyAlignment="1">
      <alignment wrapText="1"/>
    </xf>
    <xf numFmtId="3" fontId="6" fillId="0" borderId="3" xfId="8" applyNumberFormat="1" applyFont="1" applyBorder="1" applyAlignment="1">
      <alignment horizontal="center" vertical="center"/>
    </xf>
    <xf numFmtId="3" fontId="6" fillId="0" borderId="0" xfId="8" applyNumberFormat="1" applyFont="1" applyAlignment="1">
      <alignment horizontal="center" vertical="center"/>
    </xf>
    <xf numFmtId="168" fontId="18" fillId="0" borderId="0" xfId="1" applyNumberFormat="1" applyFont="1" applyFill="1" applyBorder="1" applyAlignment="1" applyProtection="1">
      <alignment horizontal="right"/>
    </xf>
    <xf numFmtId="168" fontId="17" fillId="0" borderId="0" xfId="1" applyNumberFormat="1" applyFont="1" applyBorder="1"/>
    <xf numFmtId="168" fontId="5" fillId="0" borderId="0" xfId="1" applyNumberFormat="1" applyFont="1"/>
    <xf numFmtId="168" fontId="4" fillId="0" borderId="0" xfId="1" applyNumberFormat="1" applyFont="1"/>
    <xf numFmtId="168" fontId="4" fillId="0" borderId="0" xfId="1" applyNumberFormat="1" applyFont="1" applyAlignment="1">
      <alignment horizontal="left" vertical="top" wrapText="1"/>
    </xf>
    <xf numFmtId="168" fontId="25" fillId="2" borderId="4" xfId="1" applyNumberFormat="1" applyFont="1" applyFill="1" applyBorder="1"/>
    <xf numFmtId="168" fontId="6" fillId="2" borderId="5" xfId="1" applyNumberFormat="1" applyFont="1" applyFill="1" applyBorder="1"/>
    <xf numFmtId="168" fontId="22" fillId="2" borderId="5" xfId="1" applyNumberFormat="1" applyFont="1" applyFill="1" applyBorder="1"/>
    <xf numFmtId="168" fontId="6" fillId="2" borderId="6" xfId="1" applyNumberFormat="1" applyFont="1" applyFill="1" applyBorder="1" applyAlignment="1">
      <alignment horizontal="center" vertical="center"/>
    </xf>
    <xf numFmtId="168" fontId="4" fillId="2" borderId="7" xfId="1" applyNumberFormat="1" applyFont="1" applyFill="1" applyBorder="1" applyAlignment="1">
      <alignment vertical="top"/>
    </xf>
    <xf numFmtId="168" fontId="6" fillId="2" borderId="7" xfId="1" applyNumberFormat="1" applyFont="1" applyFill="1" applyBorder="1"/>
    <xf numFmtId="168" fontId="4" fillId="2" borderId="9" xfId="1" applyNumberFormat="1" applyFont="1" applyFill="1" applyBorder="1" applyAlignment="1">
      <alignment horizontal="left" vertical="top"/>
    </xf>
    <xf numFmtId="168" fontId="4" fillId="2" borderId="0" xfId="1" applyNumberFormat="1" applyFont="1" applyFill="1" applyBorder="1" applyAlignment="1">
      <alignment horizontal="left" vertical="top" wrapText="1"/>
    </xf>
    <xf numFmtId="168" fontId="4" fillId="2" borderId="8" xfId="1" applyNumberFormat="1" applyFont="1" applyFill="1" applyBorder="1" applyAlignment="1">
      <alignment horizontal="left" vertical="top" wrapText="1"/>
    </xf>
    <xf numFmtId="168" fontId="4" fillId="0" borderId="0" xfId="1" applyNumberFormat="1" applyFont="1" applyFill="1" applyBorder="1" applyAlignment="1">
      <alignment vertical="top"/>
    </xf>
    <xf numFmtId="168" fontId="6" fillId="2" borderId="6" xfId="1" applyNumberFormat="1" applyFont="1" applyFill="1" applyBorder="1"/>
    <xf numFmtId="168" fontId="6" fillId="2" borderId="9" xfId="1" applyNumberFormat="1" applyFont="1" applyFill="1" applyBorder="1"/>
    <xf numFmtId="168" fontId="6" fillId="0" borderId="0" xfId="1" applyNumberFormat="1" applyFont="1" applyFill="1"/>
    <xf numFmtId="168" fontId="4" fillId="2" borderId="7" xfId="1" applyNumberFormat="1" applyFont="1" applyFill="1" applyBorder="1"/>
    <xf numFmtId="168" fontId="4" fillId="2" borderId="0" xfId="1" applyNumberFormat="1" applyFont="1" applyFill="1" applyBorder="1"/>
    <xf numFmtId="168" fontId="22" fillId="2" borderId="0" xfId="1" applyNumberFormat="1" applyFont="1" applyFill="1" applyBorder="1"/>
    <xf numFmtId="168" fontId="6" fillId="2" borderId="0" xfId="1" applyNumberFormat="1" applyFont="1" applyFill="1" applyBorder="1"/>
    <xf numFmtId="168" fontId="6" fillId="2" borderId="8" xfId="1" applyNumberFormat="1" applyFont="1" applyFill="1" applyBorder="1"/>
    <xf numFmtId="0" fontId="4" fillId="2" borderId="0" xfId="1" applyNumberFormat="1" applyFont="1" applyFill="1" applyBorder="1"/>
    <xf numFmtId="168" fontId="4" fillId="2" borderId="9" xfId="1" applyNumberFormat="1" applyFont="1" applyFill="1" applyBorder="1" applyAlignment="1">
      <alignment vertical="top"/>
    </xf>
    <xf numFmtId="0" fontId="3" fillId="2" borderId="7" xfId="1" applyNumberFormat="1" applyFont="1" applyFill="1" applyBorder="1" applyAlignment="1">
      <alignment vertical="top"/>
    </xf>
    <xf numFmtId="3" fontId="3" fillId="0" borderId="0" xfId="8" applyNumberFormat="1" applyFont="1" applyBorder="1" applyAlignment="1">
      <alignment horizontal="center" vertical="center"/>
    </xf>
    <xf numFmtId="0" fontId="25" fillId="2" borderId="4" xfId="1" applyNumberFormat="1" applyFont="1" applyFill="1" applyBorder="1"/>
    <xf numFmtId="3" fontId="6" fillId="2" borderId="5" xfId="8" applyNumberFormat="1" applyFont="1" applyFill="1" applyBorder="1" applyAlignment="1">
      <alignment horizontal="center" vertical="center"/>
    </xf>
    <xf numFmtId="0" fontId="3" fillId="2" borderId="7" xfId="1" applyNumberFormat="1" applyFont="1" applyFill="1" applyBorder="1" applyAlignment="1">
      <alignment horizontal="left" vertical="top"/>
    </xf>
    <xf numFmtId="0" fontId="3" fillId="2" borderId="7" xfId="1" applyNumberFormat="1" applyFont="1" applyFill="1" applyBorder="1"/>
    <xf numFmtId="3" fontId="6" fillId="2" borderId="0" xfId="8" applyNumberFormat="1" applyFont="1" applyFill="1" applyBorder="1" applyAlignment="1">
      <alignment horizontal="center" vertical="center"/>
    </xf>
    <xf numFmtId="168" fontId="3" fillId="0" borderId="0" xfId="1" applyNumberFormat="1" applyFont="1"/>
    <xf numFmtId="0" fontId="2" fillId="2" borderId="0" xfId="0" applyFont="1" applyFill="1"/>
    <xf numFmtId="0" fontId="2" fillId="2" borderId="0" xfId="0" applyFont="1" applyFill="1" applyAlignment="1">
      <alignment horizontal="left" vertical="center" indent="1"/>
    </xf>
    <xf numFmtId="0" fontId="2" fillId="2" borderId="0" xfId="0" applyFont="1" applyFill="1" applyAlignment="1">
      <alignment horizontal="left" vertical="center" wrapText="1" indent="1"/>
    </xf>
    <xf numFmtId="0" fontId="22" fillId="2" borderId="0" xfId="0" applyFont="1" applyFill="1"/>
    <xf numFmtId="166" fontId="13" fillId="0" borderId="0" xfId="3" applyFont="1" applyAlignment="1">
      <alignment horizontal="center"/>
    </xf>
    <xf numFmtId="164" fontId="13" fillId="0" borderId="0" xfId="2" applyNumberFormat="1" applyFont="1" applyFill="1" applyBorder="1" applyAlignment="1" applyProtection="1">
      <alignment horizontal="center"/>
    </xf>
    <xf numFmtId="166" fontId="14" fillId="0" borderId="0" xfId="3" applyFont="1" applyAlignment="1">
      <alignment horizontal="left"/>
    </xf>
    <xf numFmtId="0" fontId="4" fillId="2" borderId="0" xfId="1" applyNumberFormat="1" applyFont="1" applyFill="1" applyBorder="1" applyAlignment="1">
      <alignment horizontal="left" vertical="top" wrapText="1"/>
    </xf>
    <xf numFmtId="0" fontId="4" fillId="2" borderId="8" xfId="1" applyNumberFormat="1" applyFont="1" applyFill="1" applyBorder="1" applyAlignment="1">
      <alignment horizontal="left" vertical="top" wrapText="1"/>
    </xf>
    <xf numFmtId="0" fontId="4" fillId="2" borderId="2" xfId="1" applyNumberFormat="1" applyFont="1" applyFill="1" applyBorder="1" applyAlignment="1">
      <alignment horizontal="left" vertical="top" wrapText="1"/>
    </xf>
    <xf numFmtId="0" fontId="4" fillId="2" borderId="10" xfId="1" applyNumberFormat="1" applyFont="1" applyFill="1" applyBorder="1" applyAlignment="1">
      <alignment horizontal="left" vertical="top" wrapText="1"/>
    </xf>
    <xf numFmtId="168" fontId="4" fillId="2" borderId="0" xfId="1" applyNumberFormat="1" applyFont="1" applyFill="1" applyBorder="1" applyAlignment="1">
      <alignment horizontal="left" vertical="top" wrapText="1"/>
    </xf>
    <xf numFmtId="168" fontId="4" fillId="2" borderId="8" xfId="1" applyNumberFormat="1" applyFont="1" applyFill="1" applyBorder="1" applyAlignment="1">
      <alignment horizontal="left" vertical="top" wrapText="1"/>
    </xf>
    <xf numFmtId="168" fontId="3" fillId="2" borderId="2" xfId="1" applyNumberFormat="1" applyFont="1" applyFill="1" applyBorder="1" applyAlignment="1">
      <alignment horizontal="left" vertical="top" wrapText="1"/>
    </xf>
    <xf numFmtId="168" fontId="4" fillId="2" borderId="2" xfId="1" applyNumberFormat="1" applyFont="1" applyFill="1" applyBorder="1" applyAlignment="1">
      <alignment horizontal="left" vertical="top" wrapText="1"/>
    </xf>
    <xf numFmtId="168" fontId="4" fillId="2" borderId="10" xfId="1" applyNumberFormat="1" applyFont="1" applyFill="1" applyBorder="1" applyAlignment="1">
      <alignment horizontal="left" vertical="top" wrapText="1"/>
    </xf>
    <xf numFmtId="0" fontId="22" fillId="0" borderId="0" xfId="1" applyNumberFormat="1" applyFont="1" applyAlignment="1">
      <alignment horizontal="left" vertical="top" wrapText="1"/>
    </xf>
    <xf numFmtId="3" fontId="3" fillId="2" borderId="0" xfId="8" applyNumberFormat="1" applyFont="1" applyFill="1" applyBorder="1" applyAlignment="1">
      <alignment horizontal="left" vertical="top" wrapText="1"/>
    </xf>
    <xf numFmtId="3" fontId="3" fillId="2" borderId="8" xfId="8" applyNumberFormat="1" applyFont="1" applyFill="1" applyBorder="1" applyAlignment="1">
      <alignment horizontal="left" vertical="top" wrapText="1"/>
    </xf>
    <xf numFmtId="168" fontId="3" fillId="2" borderId="10" xfId="1" applyNumberFormat="1" applyFont="1" applyFill="1" applyBorder="1" applyAlignment="1">
      <alignment horizontal="left" vertical="top" wrapText="1"/>
    </xf>
    <xf numFmtId="168" fontId="19" fillId="0" borderId="0" xfId="1" applyNumberFormat="1" applyFont="1" applyAlignment="1">
      <alignment horizontal="left"/>
    </xf>
    <xf numFmtId="168" fontId="17" fillId="0" borderId="0" xfId="1" applyNumberFormat="1" applyFont="1" applyAlignment="1">
      <alignment horizontal="center"/>
    </xf>
    <xf numFmtId="168" fontId="17" fillId="0" borderId="0" xfId="1" applyNumberFormat="1" applyFont="1" applyFill="1" applyBorder="1" applyAlignment="1" applyProtection="1">
      <alignment horizontal="center"/>
    </xf>
    <xf numFmtId="168" fontId="22" fillId="0" borderId="0" xfId="1" applyNumberFormat="1" applyFont="1" applyAlignment="1">
      <alignment horizontal="left"/>
    </xf>
    <xf numFmtId="168" fontId="22" fillId="0" borderId="0" xfId="1" applyNumberFormat="1" applyFont="1" applyAlignment="1">
      <alignment horizontal="left" wrapText="1"/>
    </xf>
    <xf numFmtId="168" fontId="6" fillId="0" borderId="3" xfId="1" applyNumberFormat="1" applyFont="1" applyBorder="1" applyAlignment="1">
      <alignment horizontal="center" vertical="center" wrapText="1"/>
    </xf>
    <xf numFmtId="3" fontId="6" fillId="0" borderId="3" xfId="1" applyNumberFormat="1" applyFont="1" applyBorder="1" applyAlignment="1">
      <alignment horizontal="center" vertical="center"/>
    </xf>
    <xf numFmtId="168" fontId="6" fillId="0" borderId="3" xfId="1" applyNumberFormat="1" applyFont="1" applyBorder="1" applyAlignment="1">
      <alignment horizontal="center"/>
    </xf>
    <xf numFmtId="168" fontId="6" fillId="0" borderId="0" xfId="1" applyNumberFormat="1" applyFont="1" applyAlignment="1">
      <alignment vertical="top" wrapText="1"/>
    </xf>
    <xf numFmtId="168" fontId="22" fillId="0" borderId="0" xfId="1" applyNumberFormat="1" applyFont="1" applyAlignment="1">
      <alignment horizontal="right"/>
    </xf>
    <xf numFmtId="0" fontId="3" fillId="2" borderId="0" xfId="8" applyNumberFormat="1" applyFont="1" applyFill="1" applyBorder="1" applyAlignment="1">
      <alignment horizontal="left" vertical="top" wrapText="1"/>
    </xf>
    <xf numFmtId="0" fontId="3" fillId="2" borderId="8" xfId="8" applyNumberFormat="1" applyFont="1" applyFill="1" applyBorder="1" applyAlignment="1">
      <alignment horizontal="left" vertical="top" wrapText="1"/>
    </xf>
    <xf numFmtId="168" fontId="6" fillId="0" borderId="0" xfId="1" applyNumberFormat="1" applyFont="1" applyAlignment="1">
      <alignment horizontal="left" vertical="center"/>
    </xf>
    <xf numFmtId="0" fontId="6" fillId="0" borderId="0" xfId="1" applyNumberFormat="1" applyFont="1" applyAlignment="1">
      <alignment horizontal="left" vertical="top" wrapText="1"/>
    </xf>
    <xf numFmtId="168" fontId="7" fillId="0" borderId="0" xfId="1" applyNumberFormat="1" applyFont="1" applyAlignment="1">
      <alignment horizontal="left" vertical="center"/>
    </xf>
    <xf numFmtId="168" fontId="1" fillId="0" borderId="0" xfId="1" applyNumberFormat="1" applyFont="1"/>
    <xf numFmtId="168" fontId="1" fillId="0" borderId="0" xfId="1" applyNumberFormat="1" applyFont="1" applyAlignment="1">
      <alignment horizontal="center"/>
    </xf>
  </cellXfs>
  <cellStyles count="10">
    <cellStyle name="Excel Built-in Comma" xfId="2"/>
    <cellStyle name="Excel Built-in Normal" xfId="3"/>
    <cellStyle name="Heading" xfId="4"/>
    <cellStyle name="Heading1" xfId="5"/>
    <cellStyle name="Migliaia" xfId="1" builtinId="3"/>
    <cellStyle name="Normale" xfId="0" builtinId="0" customBuiltin="1"/>
    <cellStyle name="Percentuale" xfId="9" builtinId="5"/>
    <cellStyle name="Result" xfId="6"/>
    <cellStyle name="Result2" xfId="7"/>
    <cellStyle name="Valuta" xfId="8"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57150</xdr:rowOff>
    </xdr:from>
    <xdr:to>
      <xdr:col>17</xdr:col>
      <xdr:colOff>541402</xdr:colOff>
      <xdr:row>54</xdr:row>
      <xdr:rowOff>36882</xdr:rowOff>
    </xdr:to>
    <xdr:pic>
      <xdr:nvPicPr>
        <xdr:cNvPr id="2" name="Immagine 1"/>
        <xdr:cNvPicPr>
          <a:picLocks noChangeAspect="1"/>
        </xdr:cNvPicPr>
      </xdr:nvPicPr>
      <xdr:blipFill>
        <a:blip xmlns:r="http://schemas.openxmlformats.org/officeDocument/2006/relationships" r:embed="rId1"/>
        <a:stretch>
          <a:fillRect/>
        </a:stretch>
      </xdr:blipFill>
      <xdr:spPr>
        <a:xfrm>
          <a:off x="9525" y="57150"/>
          <a:ext cx="12190477" cy="9752382"/>
        </a:xfrm>
        <a:prstGeom prst="rect">
          <a:avLst/>
        </a:prstGeom>
      </xdr:spPr>
    </xdr:pic>
    <xdr:clientData/>
  </xdr:twoCellAnchor>
  <xdr:twoCellAnchor>
    <xdr:from>
      <xdr:col>0</xdr:col>
      <xdr:colOff>19051</xdr:colOff>
      <xdr:row>52</xdr:row>
      <xdr:rowOff>47625</xdr:rowOff>
    </xdr:from>
    <xdr:to>
      <xdr:col>17</xdr:col>
      <xdr:colOff>457201</xdr:colOff>
      <xdr:row>54</xdr:row>
      <xdr:rowOff>28575</xdr:rowOff>
    </xdr:to>
    <xdr:sp macro="" textlink="">
      <xdr:nvSpPr>
        <xdr:cNvPr id="3" name="Rettangolo 2"/>
        <xdr:cNvSpPr/>
      </xdr:nvSpPr>
      <xdr:spPr>
        <a:xfrm>
          <a:off x="19051" y="9458325"/>
          <a:ext cx="12096750" cy="3429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8"/>
  <sheetViews>
    <sheetView zoomScaleNormal="100" workbookViewId="0">
      <selection activeCell="B21" sqref="B21"/>
    </sheetView>
  </sheetViews>
  <sheetFormatPr defaultRowHeight="15" x14ac:dyDescent="0.25"/>
  <cols>
    <col min="1" max="1" width="1" style="93" customWidth="1"/>
    <col min="2" max="2" width="130.875" style="93" bestFit="1" customWidth="1"/>
    <col min="3" max="16384" width="9" style="93"/>
  </cols>
  <sheetData>
    <row r="3" spans="2:2" x14ac:dyDescent="0.25">
      <c r="B3" s="93" t="s">
        <v>230</v>
      </c>
    </row>
    <row r="4" spans="2:2" ht="9" customHeight="1" x14ac:dyDescent="0.25">
      <c r="B4" s="94"/>
    </row>
    <row r="5" spans="2:2" x14ac:dyDescent="0.25">
      <c r="B5" s="94" t="s">
        <v>231</v>
      </c>
    </row>
    <row r="6" spans="2:2" ht="30" x14ac:dyDescent="0.25">
      <c r="B6" s="95" t="s">
        <v>232</v>
      </c>
    </row>
    <row r="8" spans="2:2" x14ac:dyDescent="0.25">
      <c r="B8" s="96" t="s">
        <v>233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1"/>
  <sheetViews>
    <sheetView topLeftCell="A13" workbookViewId="0">
      <selection activeCell="C25" sqref="C25"/>
    </sheetView>
  </sheetViews>
  <sheetFormatPr defaultRowHeight="15" x14ac:dyDescent="0.25"/>
  <cols>
    <col min="1" max="1" width="25.25" style="3" customWidth="1"/>
    <col min="2" max="2" width="12" style="3" customWidth="1"/>
    <col min="3" max="3" width="14.25" style="4" customWidth="1"/>
    <col min="4" max="4" width="8" style="3" customWidth="1"/>
    <col min="5" max="5" width="12.625" style="3" customWidth="1"/>
    <col min="6" max="6" width="9.5" style="3" customWidth="1"/>
    <col min="7" max="7" width="16.375" style="4" customWidth="1"/>
    <col min="8" max="8" width="12.375" style="3" customWidth="1"/>
    <col min="9" max="10" width="8.125" style="3" customWidth="1"/>
    <col min="11" max="11" width="9.875" style="3" customWidth="1"/>
    <col min="12" max="1024" width="8.125" style="3" customWidth="1"/>
  </cols>
  <sheetData>
    <row r="1" spans="1:10" ht="15.75" x14ac:dyDescent="0.25">
      <c r="A1" s="1" t="s">
        <v>0</v>
      </c>
      <c r="B1" s="1"/>
      <c r="C1" s="2"/>
      <c r="D1" s="1"/>
    </row>
    <row r="2" spans="1:10" x14ac:dyDescent="0.25">
      <c r="A2" s="97" t="s">
        <v>1</v>
      </c>
      <c r="B2" s="97"/>
      <c r="C2" s="97"/>
      <c r="E2" s="98" t="s">
        <v>2</v>
      </c>
      <c r="F2" s="98"/>
      <c r="G2" s="98"/>
    </row>
    <row r="3" spans="1:10" x14ac:dyDescent="0.25">
      <c r="A3" s="7" t="s">
        <v>3</v>
      </c>
      <c r="B3" s="8"/>
      <c r="C3" s="9"/>
      <c r="E3" s="99" t="s">
        <v>40</v>
      </c>
      <c r="F3" s="99"/>
      <c r="G3" s="99"/>
    </row>
    <row r="4" spans="1:10" x14ac:dyDescent="0.25">
      <c r="A4" s="3" t="s">
        <v>4</v>
      </c>
      <c r="C4" s="4">
        <v>750000</v>
      </c>
      <c r="E4" s="3" t="s">
        <v>4</v>
      </c>
      <c r="G4" s="4">
        <v>320000</v>
      </c>
      <c r="I4" s="10"/>
    </row>
    <row r="5" spans="1:10" x14ac:dyDescent="0.25">
      <c r="A5" s="3" t="s">
        <v>5</v>
      </c>
      <c r="C5" s="4">
        <v>420000</v>
      </c>
      <c r="E5" s="3" t="s">
        <v>5</v>
      </c>
      <c r="G5" s="4">
        <v>280000</v>
      </c>
    </row>
    <row r="6" spans="1:10" x14ac:dyDescent="0.25">
      <c r="A6" s="3" t="s">
        <v>6</v>
      </c>
      <c r="C6" s="4">
        <v>140000</v>
      </c>
      <c r="E6" s="3" t="s">
        <v>6</v>
      </c>
      <c r="G6" s="4">
        <v>65000</v>
      </c>
    </row>
    <row r="7" spans="1:10" x14ac:dyDescent="0.25">
      <c r="A7" s="3" t="s">
        <v>7</v>
      </c>
      <c r="C7" s="4">
        <v>280000</v>
      </c>
      <c r="E7" s="3" t="s">
        <v>7</v>
      </c>
      <c r="G7" s="4">
        <v>160000</v>
      </c>
    </row>
    <row r="8" spans="1:10" x14ac:dyDescent="0.25">
      <c r="A8" s="3" t="s">
        <v>8</v>
      </c>
      <c r="C8" s="11">
        <v>130000</v>
      </c>
      <c r="E8" s="3" t="s">
        <v>8</v>
      </c>
      <c r="G8" s="11">
        <v>72000</v>
      </c>
    </row>
    <row r="9" spans="1:10" x14ac:dyDescent="0.25">
      <c r="C9" s="6">
        <v>1720000</v>
      </c>
      <c r="G9" s="6">
        <v>897000</v>
      </c>
    </row>
    <row r="11" spans="1:10" x14ac:dyDescent="0.25">
      <c r="A11" s="7" t="s">
        <v>9</v>
      </c>
      <c r="B11" s="8"/>
      <c r="C11" s="9"/>
      <c r="E11" s="99" t="s">
        <v>41</v>
      </c>
      <c r="F11" s="99"/>
      <c r="G11" s="99"/>
    </row>
    <row r="12" spans="1:10" x14ac:dyDescent="0.25">
      <c r="A12" s="3" t="s">
        <v>10</v>
      </c>
      <c r="C12" s="4">
        <v>200000</v>
      </c>
      <c r="E12" s="3" t="s">
        <v>10</v>
      </c>
      <c r="G12" s="4">
        <v>40000</v>
      </c>
    </row>
    <row r="13" spans="1:10" x14ac:dyDescent="0.25">
      <c r="A13" s="3" t="s">
        <v>11</v>
      </c>
      <c r="C13" s="4">
        <v>100000</v>
      </c>
      <c r="E13" s="3" t="s">
        <v>11</v>
      </c>
      <c r="G13" s="4">
        <v>20000</v>
      </c>
    </row>
    <row r="14" spans="1:10" x14ac:dyDescent="0.25">
      <c r="A14" s="3" t="s">
        <v>12</v>
      </c>
      <c r="C14" s="11">
        <v>1000000</v>
      </c>
      <c r="E14" s="3" t="s">
        <v>12</v>
      </c>
      <c r="G14" s="11">
        <v>200000</v>
      </c>
    </row>
    <row r="15" spans="1:10" x14ac:dyDescent="0.25">
      <c r="C15" s="6">
        <v>1300000</v>
      </c>
      <c r="G15" s="6">
        <v>260000</v>
      </c>
      <c r="I15" s="10"/>
      <c r="J15" s="10"/>
    </row>
    <row r="16" spans="1:10" x14ac:dyDescent="0.25">
      <c r="A16" s="12"/>
      <c r="C16" s="13"/>
      <c r="G16" s="13"/>
    </row>
    <row r="17" spans="1:11" x14ac:dyDescent="0.25">
      <c r="A17" s="3" t="s">
        <v>13</v>
      </c>
      <c r="C17" s="4">
        <v>0</v>
      </c>
      <c r="E17" s="3" t="s">
        <v>15</v>
      </c>
      <c r="G17" s="4">
        <v>1013000</v>
      </c>
    </row>
    <row r="18" spans="1:11" x14ac:dyDescent="0.25">
      <c r="E18" s="3" t="s">
        <v>17</v>
      </c>
      <c r="G18" s="4">
        <v>35000</v>
      </c>
    </row>
    <row r="19" spans="1:11" x14ac:dyDescent="0.25">
      <c r="A19" s="3" t="s">
        <v>14</v>
      </c>
      <c r="C19" s="4">
        <v>1200000</v>
      </c>
      <c r="E19" s="3" t="s">
        <v>19</v>
      </c>
      <c r="G19" s="4">
        <v>1500000</v>
      </c>
    </row>
    <row r="20" spans="1:11" x14ac:dyDescent="0.25">
      <c r="A20" s="3" t="s">
        <v>16</v>
      </c>
      <c r="C20" s="4">
        <v>5000</v>
      </c>
      <c r="K20" s="10"/>
    </row>
    <row r="21" spans="1:11" x14ac:dyDescent="0.25">
      <c r="A21" s="3" t="s">
        <v>234</v>
      </c>
      <c r="C21" s="4">
        <v>175000</v>
      </c>
      <c r="K21" s="10"/>
    </row>
    <row r="22" spans="1:11" x14ac:dyDescent="0.25">
      <c r="A22" s="3" t="s">
        <v>42</v>
      </c>
      <c r="C22" s="4">
        <v>0</v>
      </c>
    </row>
    <row r="23" spans="1:11" x14ac:dyDescent="0.25">
      <c r="E23" s="99" t="s">
        <v>43</v>
      </c>
      <c r="F23" s="99"/>
      <c r="G23" s="99"/>
    </row>
    <row r="24" spans="1:11" x14ac:dyDescent="0.25">
      <c r="E24" s="4" t="s">
        <v>44</v>
      </c>
      <c r="G24" s="4">
        <v>500000</v>
      </c>
    </row>
    <row r="25" spans="1:11" x14ac:dyDescent="0.25">
      <c r="E25" s="4" t="s">
        <v>45</v>
      </c>
      <c r="G25" s="4">
        <v>30000</v>
      </c>
    </row>
    <row r="26" spans="1:11" x14ac:dyDescent="0.25">
      <c r="E26" s="4" t="s">
        <v>235</v>
      </c>
      <c r="G26" s="15">
        <v>165000</v>
      </c>
    </row>
    <row r="27" spans="1:11" x14ac:dyDescent="0.25">
      <c r="E27" s="4"/>
      <c r="G27" s="4">
        <f>SUM(G24:G26)</f>
        <v>695000</v>
      </c>
    </row>
    <row r="28" spans="1:11" x14ac:dyDescent="0.25">
      <c r="F28" s="4"/>
    </row>
    <row r="29" spans="1:11" x14ac:dyDescent="0.25">
      <c r="A29" s="5" t="s">
        <v>20</v>
      </c>
      <c r="C29" s="6">
        <v>4400000</v>
      </c>
      <c r="D29" s="5"/>
      <c r="E29" s="5" t="s">
        <v>21</v>
      </c>
      <c r="F29" s="5"/>
      <c r="G29" s="6">
        <v>440000</v>
      </c>
    </row>
    <row r="31" spans="1:11" x14ac:dyDescent="0.25">
      <c r="H31" s="14"/>
    </row>
  </sheetData>
  <mergeCells count="5">
    <mergeCell ref="A2:C2"/>
    <mergeCell ref="E2:G2"/>
    <mergeCell ref="E3:G3"/>
    <mergeCell ref="E11:G11"/>
    <mergeCell ref="E23:G23"/>
  </mergeCells>
  <printOptions gridLines="1"/>
  <pageMargins left="0.70826771653543308" right="0.70826771653543308" top="1.1417322834645669" bottom="1.1417322834645669" header="0.74803149606299213" footer="0.74803149606299213"/>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4"/>
  <sheetViews>
    <sheetView topLeftCell="A160" zoomScaleNormal="100" workbookViewId="0">
      <selection activeCell="F49" sqref="F49"/>
    </sheetView>
  </sheetViews>
  <sheetFormatPr defaultRowHeight="15" x14ac:dyDescent="0.25"/>
  <cols>
    <col min="1" max="1" width="3.5" style="23" customWidth="1"/>
    <col min="2" max="2" width="26.75" style="23" customWidth="1"/>
    <col min="3" max="3" width="9.375" style="23" customWidth="1"/>
    <col min="4" max="4" width="11.875" style="23" customWidth="1"/>
    <col min="5" max="5" width="8.875" style="23" customWidth="1"/>
    <col min="6" max="6" width="22" style="23" customWidth="1"/>
    <col min="7" max="7" width="7.875" style="23" customWidth="1"/>
    <col min="8" max="8" width="13.75" style="23" customWidth="1"/>
    <col min="9" max="9" width="11.375" style="23" bestFit="1" customWidth="1"/>
    <col min="10" max="10" width="21" style="23" bestFit="1" customWidth="1"/>
    <col min="11" max="11" width="12" style="23" bestFit="1" customWidth="1"/>
    <col min="12" max="12" width="11.75" style="23" bestFit="1" customWidth="1"/>
    <col min="13" max="13" width="11.375" style="23" bestFit="1" customWidth="1"/>
    <col min="14" max="16384" width="9" style="23"/>
  </cols>
  <sheetData>
    <row r="1" spans="2:11" x14ac:dyDescent="0.25">
      <c r="B1" s="49" t="s">
        <v>0</v>
      </c>
      <c r="C1" s="49"/>
      <c r="D1" s="50"/>
      <c r="E1" s="49"/>
      <c r="F1" s="17"/>
      <c r="G1" s="17"/>
      <c r="H1" s="18"/>
    </row>
    <row r="2" spans="2:11" x14ac:dyDescent="0.25">
      <c r="B2" s="114" t="s">
        <v>1</v>
      </c>
      <c r="C2" s="114"/>
      <c r="D2" s="114"/>
      <c r="E2" s="17"/>
      <c r="F2" s="115" t="s">
        <v>2</v>
      </c>
      <c r="G2" s="115"/>
      <c r="H2" s="115"/>
      <c r="J2" s="26" t="s">
        <v>94</v>
      </c>
    </row>
    <row r="3" spans="2:11" x14ac:dyDescent="0.25">
      <c r="B3" s="113" t="s">
        <v>3</v>
      </c>
      <c r="C3" s="113"/>
      <c r="D3" s="113"/>
      <c r="E3" s="17"/>
      <c r="F3" s="99" t="s">
        <v>40</v>
      </c>
      <c r="G3" s="99"/>
      <c r="H3" s="99"/>
    </row>
    <row r="4" spans="2:11" x14ac:dyDescent="0.25">
      <c r="B4" s="17" t="s">
        <v>4</v>
      </c>
      <c r="C4" s="17"/>
      <c r="D4" s="18">
        <v>750000</v>
      </c>
      <c r="E4" s="17"/>
      <c r="F4" s="17" t="s">
        <v>4</v>
      </c>
      <c r="G4" s="17"/>
      <c r="H4" s="18">
        <f>320000+'Scritture contabili'!E56</f>
        <v>342500</v>
      </c>
      <c r="J4" s="18" t="s">
        <v>31</v>
      </c>
      <c r="K4" s="23">
        <f>'Scritture contabili'!F64</f>
        <v>700000</v>
      </c>
    </row>
    <row r="5" spans="2:11" x14ac:dyDescent="0.25">
      <c r="B5" s="17" t="s">
        <v>78</v>
      </c>
      <c r="C5" s="17"/>
      <c r="D5" s="18">
        <f>420000-'Scritture contabili'!E27</f>
        <v>350000</v>
      </c>
      <c r="E5" s="17"/>
      <c r="F5" s="17" t="s">
        <v>78</v>
      </c>
      <c r="G5" s="17"/>
      <c r="H5" s="18">
        <f>280000+'Scritture contabili'!F24-'Scritture contabili'!E29+'Scritture contabili'!E57</f>
        <v>264250</v>
      </c>
      <c r="J5" s="18" t="s">
        <v>95</v>
      </c>
    </row>
    <row r="6" spans="2:11" x14ac:dyDescent="0.25">
      <c r="B6" s="17" t="s">
        <v>6</v>
      </c>
      <c r="C6" s="17"/>
      <c r="D6" s="18">
        <v>140000</v>
      </c>
      <c r="E6" s="17"/>
      <c r="F6" s="17" t="s">
        <v>6</v>
      </c>
      <c r="G6" s="17"/>
      <c r="H6" s="18">
        <f>65000+'Scritture contabili'!E58</f>
        <v>86000</v>
      </c>
      <c r="J6" s="18" t="s">
        <v>96</v>
      </c>
    </row>
    <row r="7" spans="2:11" x14ac:dyDescent="0.25">
      <c r="B7" s="17" t="s">
        <v>7</v>
      </c>
      <c r="C7" s="17"/>
      <c r="D7" s="18">
        <v>280000</v>
      </c>
      <c r="E7" s="17"/>
      <c r="F7" s="17" t="s">
        <v>7</v>
      </c>
      <c r="G7" s="17"/>
      <c r="H7" s="18">
        <v>160000</v>
      </c>
      <c r="J7" s="18" t="s">
        <v>22</v>
      </c>
      <c r="K7" s="23">
        <f>'Scritture contabili'!F14</f>
        <v>36510</v>
      </c>
    </row>
    <row r="8" spans="2:11" x14ac:dyDescent="0.25">
      <c r="B8" s="17" t="s">
        <v>26</v>
      </c>
      <c r="C8" s="17"/>
      <c r="D8" s="18">
        <f>'Scritture contabili'!F14</f>
        <v>36510</v>
      </c>
      <c r="E8" s="17"/>
      <c r="F8" s="17" t="s">
        <v>26</v>
      </c>
      <c r="G8" s="17"/>
      <c r="H8" s="18"/>
      <c r="J8" s="18" t="s">
        <v>28</v>
      </c>
      <c r="K8" s="23">
        <f>'Scritture contabili'!E28</f>
        <v>30416.666666666668</v>
      </c>
    </row>
    <row r="9" spans="2:11" x14ac:dyDescent="0.25">
      <c r="B9" s="17" t="s">
        <v>8</v>
      </c>
      <c r="C9" s="17"/>
      <c r="D9" s="21">
        <f>130000-'Scritture contabili'!F43</f>
        <v>65000</v>
      </c>
      <c r="E9" s="17"/>
      <c r="F9" s="17" t="s">
        <v>8</v>
      </c>
      <c r="G9" s="17"/>
      <c r="H9" s="21">
        <f>72000-'Scritture contabili'!E45+'Scritture contabili'!E59</f>
        <v>52500</v>
      </c>
      <c r="J9" s="18" t="s">
        <v>102</v>
      </c>
      <c r="K9" s="23">
        <f>SUM(K4:K8)</f>
        <v>766926.66666666663</v>
      </c>
    </row>
    <row r="10" spans="2:11" x14ac:dyDescent="0.25">
      <c r="B10" s="17"/>
      <c r="C10" s="17"/>
      <c r="D10" s="19">
        <f>SUM(D4:D9)</f>
        <v>1621510</v>
      </c>
      <c r="E10" s="17"/>
      <c r="G10" s="17"/>
      <c r="H10" s="19">
        <f>SUM(H4:H9)</f>
        <v>905250</v>
      </c>
      <c r="J10" s="18"/>
    </row>
    <row r="11" spans="2:11" x14ac:dyDescent="0.25">
      <c r="B11" s="17"/>
      <c r="C11" s="17"/>
      <c r="D11" s="19"/>
      <c r="E11" s="17"/>
      <c r="G11" s="17"/>
      <c r="H11" s="19"/>
      <c r="J11" s="18"/>
    </row>
    <row r="12" spans="2:11" x14ac:dyDescent="0.25">
      <c r="B12" s="17"/>
      <c r="C12" s="17"/>
      <c r="D12" s="18"/>
      <c r="E12" s="17"/>
      <c r="G12" s="17"/>
      <c r="H12" s="18"/>
      <c r="J12" s="18" t="s">
        <v>23</v>
      </c>
      <c r="K12" s="23">
        <f>'Scritture contabili'!F6+'Scritture contabili'!F38+'Scritture contabili'!F66</f>
        <v>140000</v>
      </c>
    </row>
    <row r="13" spans="2:11" x14ac:dyDescent="0.25">
      <c r="B13" s="113" t="s">
        <v>9</v>
      </c>
      <c r="C13" s="113"/>
      <c r="D13" s="113"/>
      <c r="E13" s="17"/>
      <c r="F13" s="99" t="s">
        <v>41</v>
      </c>
      <c r="G13" s="99"/>
      <c r="H13" s="99"/>
      <c r="J13" s="18" t="s">
        <v>97</v>
      </c>
      <c r="K13" s="23">
        <f>+'Scritture contabili'!F32</f>
        <v>31000</v>
      </c>
    </row>
    <row r="14" spans="2:11" x14ac:dyDescent="0.25">
      <c r="B14" s="17" t="s">
        <v>10</v>
      </c>
      <c r="C14" s="17"/>
      <c r="D14" s="18">
        <v>200000</v>
      </c>
      <c r="E14" s="17"/>
      <c r="F14" s="17" t="s">
        <v>10</v>
      </c>
      <c r="G14" s="17"/>
      <c r="H14" s="18">
        <f>40000+'Scritture contabili'!E60</f>
        <v>80000</v>
      </c>
      <c r="J14" s="18" t="s">
        <v>98</v>
      </c>
    </row>
    <row r="15" spans="2:11" x14ac:dyDescent="0.25">
      <c r="B15" s="17" t="s">
        <v>11</v>
      </c>
      <c r="C15" s="17"/>
      <c r="D15" s="18">
        <f>100000-100000</f>
        <v>0</v>
      </c>
      <c r="E15" s="17"/>
      <c r="F15" s="17" t="s">
        <v>11</v>
      </c>
      <c r="G15" s="17"/>
      <c r="H15" s="18">
        <f>20000-20000</f>
        <v>0</v>
      </c>
      <c r="J15" s="18" t="s">
        <v>24</v>
      </c>
      <c r="K15" s="23">
        <f>'Scritture contabili'!F8</f>
        <v>24000</v>
      </c>
    </row>
    <row r="16" spans="2:11" x14ac:dyDescent="0.25">
      <c r="B16" s="17" t="s">
        <v>12</v>
      </c>
      <c r="C16" s="17"/>
      <c r="D16" s="21">
        <v>1000000</v>
      </c>
      <c r="E16" s="17"/>
      <c r="F16" s="17" t="s">
        <v>12</v>
      </c>
      <c r="G16" s="17"/>
      <c r="H16" s="21">
        <f>200000+'Scritture contabili'!E61</f>
        <v>400000</v>
      </c>
      <c r="J16" s="18" t="s">
        <v>27</v>
      </c>
      <c r="K16" s="23">
        <f>'Scritture contabili'!F24+'Scritture contabili'!F35+'Scritture contabili'!E50+'Scritture contabili'!E51+'Scritture contabili'!E52+'Scritture contabili'!E53+'Scritture contabili'!E54+'Scritture contabili'!E55++'Scritture contabili'!F47</f>
        <v>435166.66666666669</v>
      </c>
    </row>
    <row r="17" spans="2:11" x14ac:dyDescent="0.25">
      <c r="B17" s="17"/>
      <c r="C17" s="17"/>
      <c r="D17" s="19">
        <f>SUM(D14:D16)</f>
        <v>1200000</v>
      </c>
      <c r="E17" s="17"/>
      <c r="G17" s="17"/>
      <c r="H17" s="19">
        <f>SUM(H14:H16)</f>
        <v>480000</v>
      </c>
      <c r="J17" s="18" t="s">
        <v>30</v>
      </c>
      <c r="K17" s="23">
        <f>-'Scritture contabili'!F40</f>
        <v>-30000</v>
      </c>
    </row>
    <row r="18" spans="2:11" x14ac:dyDescent="0.25">
      <c r="C18" s="17"/>
      <c r="E18" s="17"/>
      <c r="G18" s="17"/>
      <c r="H18" s="22"/>
      <c r="J18" s="18" t="s">
        <v>99</v>
      </c>
    </row>
    <row r="19" spans="2:11" x14ac:dyDescent="0.25">
      <c r="B19" s="113" t="s">
        <v>163</v>
      </c>
      <c r="C19" s="113"/>
      <c r="D19" s="113"/>
      <c r="E19" s="17"/>
      <c r="F19" s="34" t="s">
        <v>79</v>
      </c>
      <c r="H19" s="18"/>
      <c r="J19" s="18" t="s">
        <v>100</v>
      </c>
    </row>
    <row r="20" spans="2:11" x14ac:dyDescent="0.25">
      <c r="B20" s="17" t="s">
        <v>29</v>
      </c>
      <c r="D20" s="18">
        <f>'Scritture contabili'!F19</f>
        <v>90000</v>
      </c>
      <c r="E20" s="17"/>
      <c r="F20" s="17" t="s">
        <v>7</v>
      </c>
      <c r="G20" s="17"/>
      <c r="H20" s="18">
        <f>'Scritture contabili'!F35</f>
        <v>5000</v>
      </c>
      <c r="J20" s="18" t="s">
        <v>101</v>
      </c>
    </row>
    <row r="21" spans="2:11" x14ac:dyDescent="0.25">
      <c r="B21" s="128" t="s">
        <v>234</v>
      </c>
      <c r="D21" s="23">
        <f>'Scritture contabili'!F68</f>
        <v>94000</v>
      </c>
      <c r="E21" s="17"/>
      <c r="J21" s="18" t="s">
        <v>193</v>
      </c>
      <c r="K21" s="23">
        <f>SUM(K12:K20)</f>
        <v>600166.66666666674</v>
      </c>
    </row>
    <row r="22" spans="2:11" x14ac:dyDescent="0.25">
      <c r="E22" s="17"/>
      <c r="F22" s="18" t="s">
        <v>15</v>
      </c>
      <c r="H22" s="18">
        <f>1013000+'Scritture contabili'!F38+'Scritture contabili'!F66</f>
        <v>1143000</v>
      </c>
      <c r="J22" s="18"/>
    </row>
    <row r="23" spans="2:11" x14ac:dyDescent="0.25">
      <c r="B23" s="17" t="s">
        <v>13</v>
      </c>
      <c r="C23" s="17"/>
      <c r="D23" s="18">
        <f>'Scritture contabili'!F40</f>
        <v>30000</v>
      </c>
      <c r="E23" s="17"/>
      <c r="F23" s="17" t="s">
        <v>17</v>
      </c>
      <c r="H23" s="18">
        <f>35000+'Scritture contabili'!F68</f>
        <v>129000</v>
      </c>
      <c r="J23" s="60" t="s">
        <v>194</v>
      </c>
      <c r="K23" s="23">
        <f>K9-K21</f>
        <v>166759.99999999988</v>
      </c>
    </row>
    <row r="24" spans="2:11" x14ac:dyDescent="0.25">
      <c r="B24" s="17" t="s">
        <v>14</v>
      </c>
      <c r="C24" s="17"/>
      <c r="D24" s="18">
        <f>1200000-'Scritture contabili'!F17+'Scritture contabili'!F64</f>
        <v>1810000</v>
      </c>
      <c r="E24" s="17"/>
      <c r="F24" s="17" t="s">
        <v>19</v>
      </c>
      <c r="H24" s="18">
        <f>1500000+'Scritture contabili'!F4-'Scritture contabili'!E11</f>
        <v>1553333.3333333333</v>
      </c>
      <c r="J24" s="18"/>
    </row>
    <row r="25" spans="2:11" x14ac:dyDescent="0.25">
      <c r="B25" s="17" t="s">
        <v>16</v>
      </c>
      <c r="C25" s="17"/>
      <c r="D25" s="18">
        <v>5000</v>
      </c>
      <c r="E25" s="17"/>
      <c r="J25" s="18" t="s">
        <v>103</v>
      </c>
    </row>
    <row r="26" spans="2:11" x14ac:dyDescent="0.25">
      <c r="B26" s="17" t="s">
        <v>18</v>
      </c>
      <c r="C26" s="17"/>
      <c r="D26" s="18">
        <f>'Scritture contabili'!F4-'Scritture contabili'!F6-'Scritture contabili'!F8-'Scritture contabili'!F10+'Scritture contabili'!E30-'Scritture contabili'!F32</f>
        <v>16666.666666666657</v>
      </c>
      <c r="E26" s="17"/>
      <c r="F26" s="99" t="s">
        <v>43</v>
      </c>
      <c r="G26" s="99"/>
      <c r="H26" s="99"/>
      <c r="J26" s="18" t="s">
        <v>104</v>
      </c>
      <c r="K26" s="23">
        <f>'Scritture contabili'!F21</f>
        <v>1587.9452054794524</v>
      </c>
    </row>
    <row r="27" spans="2:11" x14ac:dyDescent="0.25">
      <c r="B27" s="17" t="s">
        <v>32</v>
      </c>
      <c r="C27" s="17"/>
      <c r="D27" s="18">
        <f>'Scritture contabili'!F21</f>
        <v>1587.9452054794524</v>
      </c>
      <c r="E27" s="17"/>
      <c r="F27" s="4" t="s">
        <v>44</v>
      </c>
      <c r="H27" s="18">
        <v>500000</v>
      </c>
      <c r="J27" s="18" t="s">
        <v>25</v>
      </c>
      <c r="K27" s="23">
        <f>'Scritture contabili'!E12</f>
        <v>2666.666666666667</v>
      </c>
    </row>
    <row r="28" spans="2:11" x14ac:dyDescent="0.25">
      <c r="B28" s="17" t="s">
        <v>8</v>
      </c>
      <c r="C28" s="17"/>
      <c r="D28" s="18">
        <f>'Scritture contabili'!E44</f>
        <v>32500</v>
      </c>
      <c r="E28" s="17"/>
      <c r="F28" s="4" t="s">
        <v>45</v>
      </c>
      <c r="H28" s="18">
        <v>30000</v>
      </c>
      <c r="J28" s="18"/>
    </row>
    <row r="29" spans="2:11" x14ac:dyDescent="0.25">
      <c r="B29" s="128" t="s">
        <v>234</v>
      </c>
      <c r="D29" s="23">
        <v>175000</v>
      </c>
      <c r="F29" s="18" t="s">
        <v>236</v>
      </c>
      <c r="H29" s="18">
        <v>165000</v>
      </c>
      <c r="J29" s="18" t="s">
        <v>80</v>
      </c>
      <c r="K29" s="23">
        <f>K23+K25+K26-K27</f>
        <v>165681.27853881268</v>
      </c>
    </row>
    <row r="30" spans="2:11" x14ac:dyDescent="0.25">
      <c r="F30" s="18" t="s">
        <v>80</v>
      </c>
      <c r="H30" s="23">
        <f>K29</f>
        <v>165681.27853881268</v>
      </c>
    </row>
    <row r="31" spans="2:11" x14ac:dyDescent="0.25">
      <c r="B31" s="16" t="s">
        <v>20</v>
      </c>
      <c r="C31" s="16"/>
      <c r="D31" s="19">
        <f>D10+D17+D23+D20+D21+D24+D25+D26+D27+D28+D29</f>
        <v>5076264.6118721468</v>
      </c>
      <c r="E31" s="16"/>
      <c r="F31" s="16" t="s">
        <v>21</v>
      </c>
      <c r="G31" s="16"/>
      <c r="H31" s="19">
        <f>H10+H17+H20+H22+H23+H24+H27+H28</f>
        <v>4745583.333333333</v>
      </c>
    </row>
    <row r="32" spans="2:11" x14ac:dyDescent="0.25">
      <c r="G32" s="23" t="s">
        <v>105</v>
      </c>
      <c r="H32" s="23">
        <f>D31-H31-H29</f>
        <v>165681.27853881381</v>
      </c>
    </row>
    <row r="35" spans="1:8" ht="63" customHeight="1" x14ac:dyDescent="0.25">
      <c r="A35" s="51" t="s">
        <v>39</v>
      </c>
      <c r="B35" s="109" t="s">
        <v>219</v>
      </c>
      <c r="C35" s="109"/>
      <c r="D35" s="109"/>
      <c r="E35" s="109"/>
      <c r="F35" s="109"/>
      <c r="G35" s="109"/>
      <c r="H35" s="109"/>
    </row>
    <row r="37" spans="1:8" x14ac:dyDescent="0.25">
      <c r="B37" s="26" t="s">
        <v>46</v>
      </c>
    </row>
    <row r="38" spans="1:8" x14ac:dyDescent="0.25">
      <c r="B38" s="23" t="s">
        <v>33</v>
      </c>
      <c r="C38" s="23">
        <f>2400*10</f>
        <v>24000</v>
      </c>
    </row>
    <row r="39" spans="1:8" x14ac:dyDescent="0.25">
      <c r="B39" s="23" t="s">
        <v>34</v>
      </c>
      <c r="C39" s="23">
        <v>10000</v>
      </c>
    </row>
    <row r="40" spans="1:8" x14ac:dyDescent="0.25">
      <c r="B40" s="23" t="s">
        <v>35</v>
      </c>
      <c r="C40" s="52">
        <v>2000</v>
      </c>
      <c r="D40" s="128" t="s">
        <v>241</v>
      </c>
    </row>
    <row r="41" spans="1:8" x14ac:dyDescent="0.25">
      <c r="C41" s="36">
        <f>SUM(C38:C40)</f>
        <v>36000</v>
      </c>
    </row>
    <row r="43" spans="1:8" x14ac:dyDescent="0.25">
      <c r="B43" s="29" t="s">
        <v>47</v>
      </c>
    </row>
    <row r="44" spans="1:8" ht="34.5" customHeight="1" x14ac:dyDescent="0.25">
      <c r="B44" s="121" t="s">
        <v>61</v>
      </c>
      <c r="C44" s="121"/>
      <c r="D44" s="121"/>
      <c r="E44" s="121"/>
      <c r="F44" s="121"/>
      <c r="G44" s="121"/>
    </row>
    <row r="46" spans="1:8" ht="45" x14ac:dyDescent="0.25">
      <c r="B46" s="53" t="s">
        <v>59</v>
      </c>
      <c r="C46" s="53" t="s">
        <v>60</v>
      </c>
      <c r="D46" s="35" t="s">
        <v>62</v>
      </c>
      <c r="E46" s="35" t="s">
        <v>36</v>
      </c>
    </row>
    <row r="47" spans="1:8" x14ac:dyDescent="0.25">
      <c r="B47" s="54" t="s">
        <v>48</v>
      </c>
      <c r="C47" s="53">
        <f>($C$38+$C$39)/10</f>
        <v>3400</v>
      </c>
      <c r="D47" s="55">
        <v>9</v>
      </c>
      <c r="E47" s="53">
        <f>C47*4%/12*D47</f>
        <v>102</v>
      </c>
    </row>
    <row r="48" spans="1:8" x14ac:dyDescent="0.25">
      <c r="B48" s="54" t="s">
        <v>49</v>
      </c>
      <c r="C48" s="53">
        <f t="shared" ref="C48:C56" si="0">($C$38+$C$39)/10</f>
        <v>3400</v>
      </c>
      <c r="D48" s="55">
        <v>8</v>
      </c>
      <c r="E48" s="53">
        <f t="shared" ref="E48:E56" si="1">C48*4%/12*D48</f>
        <v>90.666666666666671</v>
      </c>
    </row>
    <row r="49" spans="2:5" x14ac:dyDescent="0.25">
      <c r="B49" s="54" t="s">
        <v>50</v>
      </c>
      <c r="C49" s="53">
        <f t="shared" si="0"/>
        <v>3400</v>
      </c>
      <c r="D49" s="55">
        <v>7</v>
      </c>
      <c r="E49" s="53">
        <f t="shared" si="1"/>
        <v>79.333333333333343</v>
      </c>
    </row>
    <row r="50" spans="2:5" x14ac:dyDescent="0.25">
      <c r="B50" s="54" t="s">
        <v>51</v>
      </c>
      <c r="C50" s="53">
        <f t="shared" si="0"/>
        <v>3400</v>
      </c>
      <c r="D50" s="55">
        <v>6</v>
      </c>
      <c r="E50" s="53">
        <f t="shared" si="1"/>
        <v>68</v>
      </c>
    </row>
    <row r="51" spans="2:5" x14ac:dyDescent="0.25">
      <c r="B51" s="54" t="s">
        <v>52</v>
      </c>
      <c r="C51" s="53">
        <f t="shared" si="0"/>
        <v>3400</v>
      </c>
      <c r="D51" s="55">
        <v>5</v>
      </c>
      <c r="E51" s="53">
        <f t="shared" si="1"/>
        <v>56.666666666666671</v>
      </c>
    </row>
    <row r="52" spans="2:5" x14ac:dyDescent="0.25">
      <c r="B52" s="54" t="s">
        <v>53</v>
      </c>
      <c r="C52" s="53">
        <f t="shared" si="0"/>
        <v>3400</v>
      </c>
      <c r="D52" s="55">
        <v>4</v>
      </c>
      <c r="E52" s="53">
        <f t="shared" si="1"/>
        <v>45.333333333333336</v>
      </c>
    </row>
    <row r="53" spans="2:5" x14ac:dyDescent="0.25">
      <c r="B53" s="54" t="s">
        <v>54</v>
      </c>
      <c r="C53" s="53">
        <f t="shared" si="0"/>
        <v>3400</v>
      </c>
      <c r="D53" s="55">
        <v>3</v>
      </c>
      <c r="E53" s="53">
        <f t="shared" si="1"/>
        <v>34</v>
      </c>
    </row>
    <row r="54" spans="2:5" x14ac:dyDescent="0.25">
      <c r="B54" s="54" t="s">
        <v>55</v>
      </c>
      <c r="C54" s="53">
        <f t="shared" si="0"/>
        <v>3400</v>
      </c>
      <c r="D54" s="55">
        <v>2</v>
      </c>
      <c r="E54" s="53">
        <f t="shared" si="1"/>
        <v>22.666666666666668</v>
      </c>
    </row>
    <row r="55" spans="2:5" x14ac:dyDescent="0.25">
      <c r="B55" s="54" t="s">
        <v>56</v>
      </c>
      <c r="C55" s="53">
        <f t="shared" si="0"/>
        <v>3400</v>
      </c>
      <c r="D55" s="55">
        <v>1</v>
      </c>
      <c r="E55" s="53">
        <f t="shared" si="1"/>
        <v>11.333333333333334</v>
      </c>
    </row>
    <row r="56" spans="2:5" x14ac:dyDescent="0.25">
      <c r="B56" s="54" t="s">
        <v>57</v>
      </c>
      <c r="C56" s="53">
        <f t="shared" si="0"/>
        <v>3400</v>
      </c>
      <c r="D56" s="55">
        <v>0</v>
      </c>
      <c r="E56" s="53">
        <f t="shared" si="1"/>
        <v>0</v>
      </c>
    </row>
    <row r="57" spans="2:5" x14ac:dyDescent="0.25">
      <c r="B57" s="122" t="s">
        <v>58</v>
      </c>
      <c r="C57" s="122"/>
      <c r="D57" s="122"/>
      <c r="E57" s="30">
        <f>SUM(E47:E56)</f>
        <v>510</v>
      </c>
    </row>
    <row r="59" spans="2:5" x14ac:dyDescent="0.25">
      <c r="B59" s="26" t="s">
        <v>81</v>
      </c>
    </row>
    <row r="60" spans="2:5" x14ac:dyDescent="0.25">
      <c r="B60" s="23" t="s">
        <v>84</v>
      </c>
      <c r="C60" s="23">
        <v>120000</v>
      </c>
    </row>
    <row r="61" spans="2:5" x14ac:dyDescent="0.25">
      <c r="B61" s="23" t="s">
        <v>85</v>
      </c>
      <c r="C61" s="23">
        <v>18</v>
      </c>
    </row>
    <row r="62" spans="2:5" x14ac:dyDescent="0.25">
      <c r="B62" s="23" t="s">
        <v>86</v>
      </c>
      <c r="C62" s="40">
        <v>0.04</v>
      </c>
    </row>
    <row r="64" spans="2:5" x14ac:dyDescent="0.25">
      <c r="C64" s="28" t="s">
        <v>88</v>
      </c>
      <c r="D64" s="28" t="s">
        <v>87</v>
      </c>
    </row>
    <row r="65" spans="1:10" x14ac:dyDescent="0.25">
      <c r="B65" s="26" t="s">
        <v>82</v>
      </c>
      <c r="C65" s="23">
        <f>C60/C61</f>
        <v>6666.666666666667</v>
      </c>
      <c r="D65" s="23">
        <f>C65*10</f>
        <v>66666.666666666672</v>
      </c>
    </row>
    <row r="66" spans="1:10" x14ac:dyDescent="0.25">
      <c r="B66" s="26" t="s">
        <v>83</v>
      </c>
      <c r="C66" s="23">
        <f>C65*4%</f>
        <v>266.66666666666669</v>
      </c>
      <c r="D66" s="23">
        <f>C66*10</f>
        <v>2666.666666666667</v>
      </c>
    </row>
    <row r="67" spans="1:10" x14ac:dyDescent="0.25">
      <c r="D67" s="26">
        <f>SUM(D65:D66)</f>
        <v>69333.333333333343</v>
      </c>
      <c r="J67" s="63"/>
    </row>
    <row r="68" spans="1:10" x14ac:dyDescent="0.25">
      <c r="D68" s="26"/>
      <c r="J68" s="63"/>
    </row>
    <row r="69" spans="1:10" x14ac:dyDescent="0.25">
      <c r="B69" s="65" t="s">
        <v>204</v>
      </c>
      <c r="C69" s="66"/>
      <c r="D69" s="67"/>
      <c r="E69" s="66"/>
      <c r="F69" s="66"/>
      <c r="G69" s="66"/>
      <c r="H69" s="75"/>
      <c r="J69" s="63"/>
    </row>
    <row r="70" spans="1:10" x14ac:dyDescent="0.25">
      <c r="B70" s="78" t="s">
        <v>215</v>
      </c>
      <c r="C70" s="79" t="s">
        <v>220</v>
      </c>
      <c r="D70" s="80"/>
      <c r="E70" s="81"/>
      <c r="F70" s="81"/>
      <c r="G70" s="81"/>
      <c r="H70" s="82"/>
      <c r="J70" s="63"/>
    </row>
    <row r="71" spans="1:10" x14ac:dyDescent="0.25">
      <c r="B71" s="78"/>
      <c r="C71" s="79"/>
      <c r="D71" s="80"/>
      <c r="E71" s="81"/>
      <c r="F71" s="81"/>
      <c r="G71" s="81"/>
      <c r="H71" s="82"/>
      <c r="J71" s="63"/>
    </row>
    <row r="72" spans="1:10" ht="45.75" customHeight="1" x14ac:dyDescent="0.25">
      <c r="B72" s="85" t="s">
        <v>221</v>
      </c>
      <c r="C72" s="100" t="s">
        <v>211</v>
      </c>
      <c r="D72" s="100"/>
      <c r="E72" s="100"/>
      <c r="F72" s="100"/>
      <c r="G72" s="100"/>
      <c r="H72" s="101"/>
      <c r="J72" s="63"/>
    </row>
    <row r="73" spans="1:10" x14ac:dyDescent="0.25">
      <c r="B73" s="69"/>
      <c r="C73" s="83" t="s">
        <v>212</v>
      </c>
      <c r="D73" s="80"/>
      <c r="E73" s="81"/>
      <c r="F73" s="81"/>
      <c r="G73" s="81"/>
      <c r="H73" s="82"/>
      <c r="J73" s="63"/>
    </row>
    <row r="74" spans="1:10" ht="29.25" customHeight="1" x14ac:dyDescent="0.25">
      <c r="B74" s="69"/>
      <c r="C74" s="100" t="s">
        <v>213</v>
      </c>
      <c r="D74" s="100"/>
      <c r="E74" s="100"/>
      <c r="F74" s="100"/>
      <c r="G74" s="100"/>
      <c r="H74" s="101"/>
      <c r="J74" s="63"/>
    </row>
    <row r="75" spans="1:10" ht="45" customHeight="1" x14ac:dyDescent="0.25">
      <c r="B75" s="84"/>
      <c r="C75" s="102" t="s">
        <v>214</v>
      </c>
      <c r="D75" s="102"/>
      <c r="E75" s="102"/>
      <c r="F75" s="102"/>
      <c r="G75" s="102"/>
      <c r="H75" s="103"/>
      <c r="J75" s="63"/>
    </row>
    <row r="76" spans="1:10" x14ac:dyDescent="0.25">
      <c r="B76" s="74"/>
      <c r="D76" s="26"/>
      <c r="J76" s="63"/>
    </row>
    <row r="77" spans="1:10" x14ac:dyDescent="0.25">
      <c r="B77" s="77"/>
      <c r="J77" s="63"/>
    </row>
    <row r="78" spans="1:10" ht="45.75" customHeight="1" x14ac:dyDescent="0.25">
      <c r="A78" s="51" t="s">
        <v>106</v>
      </c>
      <c r="B78" s="109" t="s">
        <v>112</v>
      </c>
      <c r="C78" s="109"/>
      <c r="D78" s="109"/>
      <c r="E78" s="109"/>
      <c r="F78" s="109"/>
      <c r="G78" s="109"/>
      <c r="H78" s="109"/>
      <c r="J78" s="63"/>
    </row>
    <row r="79" spans="1:10" x14ac:dyDescent="0.25">
      <c r="J79" s="63"/>
    </row>
    <row r="80" spans="1:10" x14ac:dyDescent="0.25">
      <c r="B80" s="23" t="s">
        <v>108</v>
      </c>
      <c r="C80" s="23">
        <v>90000</v>
      </c>
    </row>
    <row r="81" spans="1:8" x14ac:dyDescent="0.25">
      <c r="B81" s="23" t="s">
        <v>86</v>
      </c>
      <c r="C81" s="56">
        <v>3.5000000000000003E-2</v>
      </c>
    </row>
    <row r="83" spans="1:8" x14ac:dyDescent="0.25">
      <c r="B83" s="23" t="s">
        <v>109</v>
      </c>
      <c r="C83" s="23">
        <f>C80*C81/365*(31+31+30+31+30+31)</f>
        <v>1587.9452054794524</v>
      </c>
      <c r="D83" s="23" t="s">
        <v>110</v>
      </c>
    </row>
    <row r="85" spans="1:8" x14ac:dyDescent="0.25">
      <c r="B85" s="23" t="s">
        <v>111</v>
      </c>
    </row>
    <row r="88" spans="1:8" ht="30.75" customHeight="1" x14ac:dyDescent="0.25">
      <c r="A88" s="51" t="s">
        <v>118</v>
      </c>
      <c r="B88" s="117" t="s">
        <v>119</v>
      </c>
      <c r="C88" s="117"/>
      <c r="D88" s="117"/>
      <c r="E88" s="117"/>
      <c r="F88" s="117"/>
      <c r="G88" s="117"/>
      <c r="H88" s="117"/>
    </row>
    <row r="90" spans="1:8" x14ac:dyDescent="0.25">
      <c r="B90" s="23" t="s">
        <v>120</v>
      </c>
    </row>
    <row r="93" spans="1:8" ht="62.25" customHeight="1" x14ac:dyDescent="0.25">
      <c r="A93" s="51" t="s">
        <v>121</v>
      </c>
      <c r="B93" s="109" t="s">
        <v>222</v>
      </c>
      <c r="C93" s="109"/>
      <c r="D93" s="109"/>
      <c r="E93" s="109"/>
      <c r="F93" s="109"/>
      <c r="G93" s="109"/>
      <c r="H93" s="109"/>
    </row>
    <row r="95" spans="1:8" x14ac:dyDescent="0.25">
      <c r="B95" s="23" t="s">
        <v>122</v>
      </c>
    </row>
    <row r="97" spans="2:10" x14ac:dyDescent="0.25">
      <c r="B97" s="23" t="s">
        <v>128</v>
      </c>
      <c r="C97" s="23">
        <v>31000</v>
      </c>
    </row>
    <row r="98" spans="2:10" x14ac:dyDescent="0.25">
      <c r="B98" s="23" t="s">
        <v>134</v>
      </c>
      <c r="C98" s="23">
        <f>B102*97.5%</f>
        <v>68250</v>
      </c>
    </row>
    <row r="100" spans="2:10" x14ac:dyDescent="0.25">
      <c r="B100" s="120" t="s">
        <v>126</v>
      </c>
      <c r="C100" s="120"/>
      <c r="D100" s="120"/>
      <c r="E100" s="120"/>
      <c r="F100" s="120" t="s">
        <v>127</v>
      </c>
      <c r="G100" s="120"/>
      <c r="H100" s="120"/>
    </row>
    <row r="101" spans="2:10" x14ac:dyDescent="0.25">
      <c r="B101" s="35" t="s">
        <v>123</v>
      </c>
      <c r="C101" s="118" t="s">
        <v>124</v>
      </c>
      <c r="D101" s="118"/>
      <c r="E101" s="35" t="s">
        <v>37</v>
      </c>
      <c r="F101" s="35" t="s">
        <v>125</v>
      </c>
      <c r="G101" s="35" t="s">
        <v>37</v>
      </c>
      <c r="H101" s="57" t="s">
        <v>38</v>
      </c>
    </row>
    <row r="102" spans="2:10" x14ac:dyDescent="0.25">
      <c r="B102" s="58">
        <v>70000</v>
      </c>
      <c r="C102" s="119">
        <f>C98</f>
        <v>68250</v>
      </c>
      <c r="D102" s="119"/>
      <c r="E102" s="58">
        <f>B102-C102</f>
        <v>1750</v>
      </c>
      <c r="F102" s="58">
        <f>E102/12*8</f>
        <v>1166.6666666666667</v>
      </c>
      <c r="G102" s="58">
        <f>E102-F102</f>
        <v>583.33333333333326</v>
      </c>
      <c r="H102" s="58">
        <f>C97-G102</f>
        <v>30416.666666666668</v>
      </c>
      <c r="J102" s="62"/>
    </row>
    <row r="103" spans="2:10" x14ac:dyDescent="0.25">
      <c r="F103" s="59"/>
      <c r="J103" s="62"/>
    </row>
    <row r="104" spans="2:10" x14ac:dyDescent="0.25">
      <c r="J104" s="62"/>
    </row>
    <row r="105" spans="2:10" x14ac:dyDescent="0.25">
      <c r="B105" s="23" t="s">
        <v>129</v>
      </c>
      <c r="C105" s="23">
        <v>31000</v>
      </c>
    </row>
    <row r="107" spans="2:10" x14ac:dyDescent="0.25">
      <c r="B107" s="65" t="s">
        <v>204</v>
      </c>
      <c r="C107" s="66"/>
      <c r="D107" s="66"/>
      <c r="E107" s="66"/>
      <c r="F107" s="66"/>
      <c r="G107" s="66"/>
      <c r="H107" s="75"/>
    </row>
    <row r="108" spans="2:10" ht="75.75" customHeight="1" x14ac:dyDescent="0.25">
      <c r="B108" s="69" t="s">
        <v>216</v>
      </c>
      <c r="C108" s="100" t="s">
        <v>208</v>
      </c>
      <c r="D108" s="100"/>
      <c r="E108" s="100"/>
      <c r="F108" s="100"/>
      <c r="G108" s="100"/>
      <c r="H108" s="101"/>
      <c r="J108" s="63"/>
    </row>
    <row r="109" spans="2:10" ht="45" customHeight="1" x14ac:dyDescent="0.25">
      <c r="B109" s="70"/>
      <c r="C109" s="100" t="s">
        <v>209</v>
      </c>
      <c r="D109" s="100"/>
      <c r="E109" s="100"/>
      <c r="F109" s="100"/>
      <c r="G109" s="100"/>
      <c r="H109" s="101"/>
      <c r="J109" s="63"/>
    </row>
    <row r="110" spans="2:10" ht="45.75" customHeight="1" x14ac:dyDescent="0.25">
      <c r="B110" s="76"/>
      <c r="C110" s="107" t="s">
        <v>210</v>
      </c>
      <c r="D110" s="107"/>
      <c r="E110" s="107"/>
      <c r="F110" s="107"/>
      <c r="G110" s="107"/>
      <c r="H110" s="108"/>
      <c r="J110" s="63"/>
    </row>
    <row r="111" spans="2:10" x14ac:dyDescent="0.25">
      <c r="J111" s="63"/>
    </row>
    <row r="112" spans="2:10" x14ac:dyDescent="0.25">
      <c r="J112" s="63"/>
    </row>
    <row r="113" spans="1:10" ht="31.5" customHeight="1" x14ac:dyDescent="0.25">
      <c r="A113" s="51" t="s">
        <v>138</v>
      </c>
      <c r="B113" s="109" t="s">
        <v>223</v>
      </c>
      <c r="C113" s="109"/>
      <c r="D113" s="109"/>
      <c r="E113" s="109"/>
      <c r="F113" s="109"/>
      <c r="G113" s="109"/>
      <c r="H113" s="109"/>
      <c r="J113" s="63"/>
    </row>
    <row r="115" spans="1:10" x14ac:dyDescent="0.25">
      <c r="B115" s="23" t="s">
        <v>139</v>
      </c>
      <c r="D115" s="26">
        <f>C121-C123</f>
        <v>5000</v>
      </c>
    </row>
    <row r="117" spans="1:10" x14ac:dyDescent="0.25">
      <c r="B117" s="23" t="s">
        <v>128</v>
      </c>
      <c r="C117" s="23">
        <v>125000</v>
      </c>
    </row>
    <row r="118" spans="1:10" x14ac:dyDescent="0.25">
      <c r="B118" s="23" t="s">
        <v>143</v>
      </c>
      <c r="C118" s="23">
        <v>10000</v>
      </c>
    </row>
    <row r="121" spans="1:10" x14ac:dyDescent="0.25">
      <c r="B121" s="37" t="s">
        <v>140</v>
      </c>
      <c r="C121" s="38">
        <f>Testo!C7-Testo!G7</f>
        <v>120000</v>
      </c>
      <c r="D121" s="36"/>
      <c r="E121" s="36"/>
    </row>
    <row r="122" spans="1:10" x14ac:dyDescent="0.25">
      <c r="D122" s="39"/>
      <c r="E122" s="39"/>
    </row>
    <row r="123" spans="1:10" x14ac:dyDescent="0.25">
      <c r="B123" s="37" t="s">
        <v>145</v>
      </c>
      <c r="C123" s="38">
        <f>MAXA(C125,C126)</f>
        <v>115000</v>
      </c>
    </row>
    <row r="124" spans="1:10" ht="5.25" customHeight="1" x14ac:dyDescent="0.25">
      <c r="C124" s="38"/>
      <c r="D124" s="36"/>
    </row>
    <row r="125" spans="1:10" x14ac:dyDescent="0.25">
      <c r="B125" s="36" t="s">
        <v>141</v>
      </c>
      <c r="C125" s="39">
        <v>100000</v>
      </c>
      <c r="D125" s="36"/>
    </row>
    <row r="126" spans="1:10" x14ac:dyDescent="0.25">
      <c r="B126" s="23" t="s">
        <v>142</v>
      </c>
      <c r="C126" s="39">
        <f>C117-C118</f>
        <v>115000</v>
      </c>
      <c r="D126" s="36"/>
    </row>
    <row r="127" spans="1:10" x14ac:dyDescent="0.25">
      <c r="C127" s="39"/>
      <c r="D127" s="36"/>
    </row>
    <row r="128" spans="1:10" x14ac:dyDescent="0.25">
      <c r="B128" s="87" t="s">
        <v>204</v>
      </c>
      <c r="C128" s="88"/>
      <c r="D128" s="66"/>
      <c r="E128" s="66"/>
      <c r="F128" s="66"/>
      <c r="G128" s="66"/>
      <c r="H128" s="75"/>
    </row>
    <row r="129" spans="1:10" ht="30.75" customHeight="1" x14ac:dyDescent="0.25">
      <c r="B129" s="89" t="s">
        <v>225</v>
      </c>
      <c r="C129" s="110" t="s">
        <v>226</v>
      </c>
      <c r="D129" s="110"/>
      <c r="E129" s="110"/>
      <c r="F129" s="110"/>
      <c r="G129" s="110"/>
      <c r="H129" s="111"/>
    </row>
    <row r="130" spans="1:10" x14ac:dyDescent="0.25">
      <c r="B130" s="90"/>
      <c r="C130" s="91"/>
      <c r="D130" s="81"/>
      <c r="E130" s="81"/>
      <c r="F130" s="81"/>
      <c r="G130" s="81"/>
      <c r="H130" s="82"/>
    </row>
    <row r="131" spans="1:10" ht="60" customHeight="1" x14ac:dyDescent="0.25">
      <c r="B131" s="85" t="s">
        <v>224</v>
      </c>
      <c r="C131" s="123" t="s">
        <v>228</v>
      </c>
      <c r="D131" s="123"/>
      <c r="E131" s="123"/>
      <c r="F131" s="123"/>
      <c r="G131" s="123"/>
      <c r="H131" s="124"/>
    </row>
    <row r="132" spans="1:10" ht="46.5" customHeight="1" x14ac:dyDescent="0.25">
      <c r="B132" s="76"/>
      <c r="C132" s="106" t="s">
        <v>229</v>
      </c>
      <c r="D132" s="106"/>
      <c r="E132" s="106"/>
      <c r="F132" s="106"/>
      <c r="G132" s="106"/>
      <c r="H132" s="112"/>
    </row>
    <row r="133" spans="1:10" x14ac:dyDescent="0.25">
      <c r="D133" s="36"/>
      <c r="I133" s="86"/>
      <c r="J133" s="92"/>
    </row>
    <row r="134" spans="1:10" x14ac:dyDescent="0.25">
      <c r="A134" s="51" t="s">
        <v>149</v>
      </c>
      <c r="B134" s="116" t="s">
        <v>150</v>
      </c>
      <c r="C134" s="116"/>
      <c r="D134" s="116"/>
      <c r="E134" s="116"/>
      <c r="F134" s="116"/>
      <c r="G134" s="116"/>
      <c r="H134" s="116"/>
      <c r="J134" s="86"/>
    </row>
    <row r="135" spans="1:10" x14ac:dyDescent="0.25">
      <c r="C135" s="39"/>
      <c r="D135" s="36"/>
    </row>
    <row r="136" spans="1:10" x14ac:dyDescent="0.25">
      <c r="B136" s="23" t="s">
        <v>151</v>
      </c>
      <c r="C136" s="39">
        <v>30000</v>
      </c>
      <c r="D136" s="36"/>
    </row>
    <row r="137" spans="1:10" x14ac:dyDescent="0.25">
      <c r="C137" s="39"/>
      <c r="D137" s="36"/>
    </row>
    <row r="138" spans="1:10" x14ac:dyDescent="0.25">
      <c r="C138" s="39"/>
      <c r="D138" s="36"/>
    </row>
    <row r="139" spans="1:10" ht="48" customHeight="1" x14ac:dyDescent="0.25">
      <c r="A139" s="51" t="s">
        <v>237</v>
      </c>
      <c r="B139" s="109" t="s">
        <v>205</v>
      </c>
      <c r="C139" s="109"/>
      <c r="D139" s="109"/>
      <c r="E139" s="109"/>
      <c r="F139" s="109"/>
      <c r="G139" s="109"/>
      <c r="H139" s="109"/>
    </row>
    <row r="140" spans="1:10" x14ac:dyDescent="0.25">
      <c r="C140" s="39"/>
      <c r="D140" s="36"/>
    </row>
    <row r="141" spans="1:10" x14ac:dyDescent="0.25">
      <c r="B141" s="46" t="s">
        <v>158</v>
      </c>
      <c r="C141" s="39"/>
      <c r="D141" s="36"/>
    </row>
    <row r="142" spans="1:10" x14ac:dyDescent="0.25">
      <c r="B142" s="36" t="s">
        <v>144</v>
      </c>
      <c r="C142" s="39">
        <v>65000</v>
      </c>
      <c r="D142" s="36"/>
    </row>
    <row r="143" spans="1:10" x14ac:dyDescent="0.25">
      <c r="B143" s="36" t="s">
        <v>124</v>
      </c>
      <c r="C143" s="39">
        <f>C142*50%</f>
        <v>32500</v>
      </c>
      <c r="D143" s="36"/>
    </row>
    <row r="144" spans="1:10" x14ac:dyDescent="0.25">
      <c r="B144" s="36"/>
      <c r="C144" s="39"/>
      <c r="D144" s="36"/>
    </row>
    <row r="145" spans="2:5" x14ac:dyDescent="0.25">
      <c r="B145" s="36" t="s">
        <v>162</v>
      </c>
      <c r="C145" s="39">
        <f>C142-C143</f>
        <v>32500</v>
      </c>
      <c r="D145" s="36"/>
    </row>
    <row r="146" spans="2:5" x14ac:dyDescent="0.25">
      <c r="B146" s="36"/>
      <c r="C146" s="39"/>
      <c r="D146" s="36"/>
    </row>
    <row r="147" spans="2:5" x14ac:dyDescent="0.25">
      <c r="B147" s="26" t="s">
        <v>164</v>
      </c>
      <c r="C147" s="39"/>
    </row>
    <row r="148" spans="2:5" x14ac:dyDescent="0.25">
      <c r="C148" s="39"/>
    </row>
    <row r="149" spans="2:5" x14ac:dyDescent="0.25">
      <c r="B149" s="26" t="s">
        <v>165</v>
      </c>
      <c r="C149" s="39">
        <f>Testo!C13-Testo!G13</f>
        <v>80000</v>
      </c>
      <c r="D149" s="23" t="s">
        <v>171</v>
      </c>
    </row>
    <row r="150" spans="2:5" x14ac:dyDescent="0.25">
      <c r="C150" s="39"/>
    </row>
    <row r="151" spans="2:5" x14ac:dyDescent="0.25">
      <c r="B151" s="46" t="s">
        <v>166</v>
      </c>
      <c r="C151" s="39"/>
      <c r="D151" s="36"/>
      <c r="E151" s="36"/>
    </row>
    <row r="152" spans="2:5" ht="7.5" customHeight="1" x14ac:dyDescent="0.25">
      <c r="B152" s="36"/>
      <c r="C152" s="39"/>
      <c r="D152" s="36"/>
      <c r="E152" s="36"/>
    </row>
    <row r="153" spans="2:5" x14ac:dyDescent="0.25">
      <c r="B153" s="46" t="s">
        <v>3</v>
      </c>
      <c r="C153" s="42" t="s">
        <v>169</v>
      </c>
      <c r="D153" s="42" t="s">
        <v>168</v>
      </c>
      <c r="E153" s="46" t="s">
        <v>172</v>
      </c>
    </row>
    <row r="154" spans="2:5" x14ac:dyDescent="0.25">
      <c r="B154" s="47" t="s">
        <v>4</v>
      </c>
      <c r="C154" s="39">
        <v>750000</v>
      </c>
      <c r="D154" s="43">
        <v>0.03</v>
      </c>
      <c r="E154" s="36">
        <f>C154*D154</f>
        <v>22500</v>
      </c>
    </row>
    <row r="155" spans="2:5" x14ac:dyDescent="0.25">
      <c r="B155" s="47" t="s">
        <v>78</v>
      </c>
      <c r="C155" s="39">
        <v>350000</v>
      </c>
      <c r="D155" s="43">
        <v>0.15</v>
      </c>
      <c r="E155" s="36">
        <f t="shared" ref="E155:E158" si="2">C155*D155</f>
        <v>52500</v>
      </c>
    </row>
    <row r="156" spans="2:5" x14ac:dyDescent="0.25">
      <c r="B156" s="47" t="s">
        <v>6</v>
      </c>
      <c r="C156" s="39">
        <v>140000</v>
      </c>
      <c r="D156" s="43">
        <v>0.15</v>
      </c>
      <c r="E156" s="36">
        <f t="shared" si="2"/>
        <v>21000</v>
      </c>
    </row>
    <row r="157" spans="2:5" x14ac:dyDescent="0.25">
      <c r="B157" s="47" t="s">
        <v>7</v>
      </c>
      <c r="C157" s="39">
        <v>280000</v>
      </c>
      <c r="D157" s="44" t="s">
        <v>170</v>
      </c>
      <c r="E157" s="36"/>
    </row>
    <row r="158" spans="2:5" x14ac:dyDescent="0.25">
      <c r="B158" s="47" t="s">
        <v>8</v>
      </c>
      <c r="C158" s="39">
        <v>65000</v>
      </c>
      <c r="D158" s="43">
        <v>0.2</v>
      </c>
      <c r="E158" s="36">
        <f t="shared" si="2"/>
        <v>13000</v>
      </c>
    </row>
    <row r="159" spans="2:5" ht="7.5" customHeight="1" x14ac:dyDescent="0.25">
      <c r="B159" s="47"/>
      <c r="C159" s="45"/>
      <c r="D159" s="43"/>
      <c r="E159" s="36"/>
    </row>
    <row r="160" spans="2:5" x14ac:dyDescent="0.25">
      <c r="B160" s="46" t="s">
        <v>9</v>
      </c>
      <c r="C160" s="42" t="s">
        <v>169</v>
      </c>
      <c r="D160" s="42" t="s">
        <v>168</v>
      </c>
      <c r="E160" s="46" t="s">
        <v>172</v>
      </c>
    </row>
    <row r="161" spans="1:9" x14ac:dyDescent="0.25">
      <c r="B161" s="47" t="s">
        <v>10</v>
      </c>
      <c r="C161" s="45">
        <v>200000</v>
      </c>
      <c r="D161" s="43">
        <v>0.2</v>
      </c>
      <c r="E161" s="36">
        <f t="shared" ref="E161:E162" si="3">C161*D161</f>
        <v>40000</v>
      </c>
      <c r="H161" s="63"/>
    </row>
    <row r="162" spans="1:9" x14ac:dyDescent="0.25">
      <c r="B162" s="47" t="s">
        <v>12</v>
      </c>
      <c r="C162" s="45">
        <v>1000000</v>
      </c>
      <c r="D162" s="43">
        <v>0.2</v>
      </c>
      <c r="E162" s="36">
        <f t="shared" si="3"/>
        <v>200000</v>
      </c>
    </row>
    <row r="163" spans="1:9" x14ac:dyDescent="0.25">
      <c r="D163" s="41"/>
      <c r="H163" s="63"/>
    </row>
    <row r="164" spans="1:9" x14ac:dyDescent="0.25">
      <c r="B164" s="65" t="s">
        <v>204</v>
      </c>
      <c r="C164" s="66"/>
      <c r="D164" s="67"/>
      <c r="E164" s="66"/>
      <c r="F164" s="66"/>
      <c r="G164" s="66"/>
      <c r="H164" s="68"/>
    </row>
    <row r="165" spans="1:9" ht="45.75" customHeight="1" x14ac:dyDescent="0.25">
      <c r="B165" s="69" t="s">
        <v>217</v>
      </c>
      <c r="C165" s="104" t="s">
        <v>206</v>
      </c>
      <c r="D165" s="104"/>
      <c r="E165" s="104"/>
      <c r="F165" s="104"/>
      <c r="G165" s="104"/>
      <c r="H165" s="105"/>
    </row>
    <row r="166" spans="1:9" ht="30" customHeight="1" x14ac:dyDescent="0.25">
      <c r="B166" s="70"/>
      <c r="C166" s="104" t="s">
        <v>207</v>
      </c>
      <c r="D166" s="104"/>
      <c r="E166" s="104"/>
      <c r="F166" s="104"/>
      <c r="G166" s="104"/>
      <c r="H166" s="105"/>
    </row>
    <row r="167" spans="1:9" x14ac:dyDescent="0.25">
      <c r="B167" s="70"/>
      <c r="C167" s="72"/>
      <c r="D167" s="72"/>
      <c r="E167" s="72"/>
      <c r="F167" s="72"/>
      <c r="G167" s="72"/>
      <c r="H167" s="73"/>
    </row>
    <row r="168" spans="1:9" x14ac:dyDescent="0.25">
      <c r="B168" s="71" t="s">
        <v>218</v>
      </c>
      <c r="C168" s="106" t="s">
        <v>227</v>
      </c>
      <c r="D168" s="107"/>
      <c r="E168" s="107"/>
      <c r="F168" s="107"/>
      <c r="G168" s="107"/>
      <c r="H168" s="108"/>
    </row>
    <row r="169" spans="1:9" x14ac:dyDescent="0.25">
      <c r="C169" s="64"/>
      <c r="D169" s="64"/>
      <c r="E169" s="64"/>
      <c r="F169" s="64"/>
      <c r="G169" s="64"/>
      <c r="H169" s="64"/>
    </row>
    <row r="170" spans="1:9" x14ac:dyDescent="0.25">
      <c r="C170" s="64"/>
      <c r="D170" s="64"/>
      <c r="E170" s="64"/>
      <c r="F170" s="64"/>
      <c r="G170" s="64"/>
      <c r="H170" s="64"/>
    </row>
    <row r="171" spans="1:9" x14ac:dyDescent="0.25">
      <c r="A171" s="51" t="s">
        <v>185</v>
      </c>
      <c r="B171" s="46" t="s">
        <v>186</v>
      </c>
    </row>
    <row r="172" spans="1:9" x14ac:dyDescent="0.25">
      <c r="B172" s="47"/>
      <c r="D172" s="43"/>
      <c r="E172" s="36"/>
      <c r="F172" s="47"/>
    </row>
    <row r="173" spans="1:9" x14ac:dyDescent="0.25">
      <c r="B173" s="47" t="s">
        <v>187</v>
      </c>
      <c r="C173" s="45">
        <v>700000</v>
      </c>
      <c r="D173" s="43"/>
      <c r="E173" s="36"/>
      <c r="F173" s="47"/>
    </row>
    <row r="174" spans="1:9" x14ac:dyDescent="0.25">
      <c r="B174" s="47" t="s">
        <v>188</v>
      </c>
      <c r="C174" s="45">
        <v>100000</v>
      </c>
      <c r="D174" s="43"/>
      <c r="E174" s="36"/>
      <c r="F174" s="47"/>
      <c r="I174" s="63"/>
    </row>
    <row r="175" spans="1:9" x14ac:dyDescent="0.25">
      <c r="B175" s="47"/>
      <c r="C175" s="45"/>
      <c r="D175" s="43"/>
      <c r="E175" s="36"/>
      <c r="F175" s="47"/>
      <c r="I175" s="63"/>
    </row>
    <row r="176" spans="1:9" x14ac:dyDescent="0.25">
      <c r="A176" s="51" t="s">
        <v>157</v>
      </c>
      <c r="B176" s="46" t="s">
        <v>239</v>
      </c>
    </row>
    <row r="177" spans="2:9" x14ac:dyDescent="0.25">
      <c r="B177" s="47"/>
      <c r="C177" s="45"/>
      <c r="D177" s="43"/>
      <c r="E177" s="36"/>
      <c r="F177" s="47"/>
      <c r="I177" s="63"/>
    </row>
    <row r="178" spans="2:9" x14ac:dyDescent="0.25">
      <c r="B178" s="47" t="s">
        <v>234</v>
      </c>
      <c r="C178" s="45">
        <f>(91+3)*1000</f>
        <v>94000</v>
      </c>
      <c r="D178" s="43"/>
      <c r="E178" s="36"/>
      <c r="F178" s="47"/>
      <c r="I178" s="63"/>
    </row>
    <row r="179" spans="2:9" x14ac:dyDescent="0.25">
      <c r="B179" s="47"/>
      <c r="C179" s="45"/>
      <c r="D179" s="43"/>
      <c r="E179" s="36"/>
      <c r="F179" s="47"/>
      <c r="I179" s="63"/>
    </row>
    <row r="180" spans="2:9" x14ac:dyDescent="0.25">
      <c r="B180" s="61" t="s">
        <v>196</v>
      </c>
      <c r="C180" s="45"/>
      <c r="D180" s="43"/>
      <c r="E180" s="36"/>
      <c r="F180" s="47"/>
    </row>
    <row r="181" spans="2:9" x14ac:dyDescent="0.25">
      <c r="B181" s="47"/>
      <c r="C181" s="45"/>
      <c r="D181" s="43"/>
      <c r="E181" s="36"/>
      <c r="F181" s="47"/>
    </row>
    <row r="182" spans="2:9" x14ac:dyDescent="0.25">
      <c r="B182" s="23" t="s">
        <v>80</v>
      </c>
      <c r="C182" s="23">
        <f>K29</f>
        <v>165681.27853881268</v>
      </c>
    </row>
    <row r="184" spans="2:9" x14ac:dyDescent="0.25">
      <c r="B184" s="23" t="s">
        <v>197</v>
      </c>
      <c r="C184" s="23">
        <f>C182*5%</f>
        <v>8284.0639269406347</v>
      </c>
    </row>
    <row r="185" spans="2:9" x14ac:dyDescent="0.25">
      <c r="B185" s="23" t="s">
        <v>202</v>
      </c>
      <c r="C185" s="23">
        <f>C182-C184</f>
        <v>157397.21461187204</v>
      </c>
    </row>
    <row r="187" spans="2:9" x14ac:dyDescent="0.25">
      <c r="B187" s="23" t="s">
        <v>198</v>
      </c>
      <c r="C187" s="23">
        <f>H28+C184</f>
        <v>38284.063926940638</v>
      </c>
    </row>
    <row r="188" spans="2:9" x14ac:dyDescent="0.25">
      <c r="B188" s="23" t="s">
        <v>199</v>
      </c>
      <c r="C188" s="23">
        <f>H27/5</f>
        <v>100000</v>
      </c>
    </row>
    <row r="189" spans="2:9" x14ac:dyDescent="0.25">
      <c r="B189" s="23" t="s">
        <v>200</v>
      </c>
      <c r="C189" s="23">
        <f>IF(C187-C188&gt;0,(C187-C188),0)</f>
        <v>0</v>
      </c>
    </row>
    <row r="191" spans="2:9" x14ac:dyDescent="0.25">
      <c r="B191" s="23" t="s">
        <v>201</v>
      </c>
      <c r="C191" s="23">
        <f>D14-H14</f>
        <v>120000</v>
      </c>
    </row>
    <row r="192" spans="2:9" x14ac:dyDescent="0.25">
      <c r="B192" s="26" t="s">
        <v>203</v>
      </c>
      <c r="C192" s="26">
        <f>C185-C191</f>
        <v>37397.214611872041</v>
      </c>
    </row>
    <row r="194" spans="1:2" x14ac:dyDescent="0.25">
      <c r="A194" s="51"/>
      <c r="B194" s="46"/>
    </row>
  </sheetData>
  <mergeCells count="33">
    <mergeCell ref="B19:D19"/>
    <mergeCell ref="B113:H113"/>
    <mergeCell ref="B134:H134"/>
    <mergeCell ref="B78:H78"/>
    <mergeCell ref="B88:H88"/>
    <mergeCell ref="B93:H93"/>
    <mergeCell ref="C101:D101"/>
    <mergeCell ref="C102:D102"/>
    <mergeCell ref="B100:E100"/>
    <mergeCell ref="F100:H100"/>
    <mergeCell ref="B35:H35"/>
    <mergeCell ref="B44:G44"/>
    <mergeCell ref="B57:D57"/>
    <mergeCell ref="F26:H26"/>
    <mergeCell ref="C72:H72"/>
    <mergeCell ref="C131:H131"/>
    <mergeCell ref="B3:D3"/>
    <mergeCell ref="B13:D13"/>
    <mergeCell ref="B2:D2"/>
    <mergeCell ref="F2:H2"/>
    <mergeCell ref="F3:H3"/>
    <mergeCell ref="F13:H13"/>
    <mergeCell ref="C74:H74"/>
    <mergeCell ref="C75:H75"/>
    <mergeCell ref="C165:H165"/>
    <mergeCell ref="C166:H166"/>
    <mergeCell ref="C168:H168"/>
    <mergeCell ref="C108:H108"/>
    <mergeCell ref="C109:H109"/>
    <mergeCell ref="C110:H110"/>
    <mergeCell ref="B139:H139"/>
    <mergeCell ref="C129:H129"/>
    <mergeCell ref="C132:H132"/>
  </mergeCells>
  <pageMargins left="0" right="0" top="0.39409448818897641" bottom="0.39409448818897641" header="0" footer="0"/>
  <pageSetup paperSize="9" fitToWidth="0" fitToHeight="0" pageOrder="overThenDown" orientation="portrait" verticalDpi="0" r:id="rId1"/>
  <headerFooter>
    <oddHeader>&amp;C&amp;A</oddHeader>
    <oddFooter>&amp;CPagina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0"/>
  <sheetViews>
    <sheetView tabSelected="1" topLeftCell="A58" workbookViewId="0">
      <selection activeCell="H69" sqref="H69"/>
    </sheetView>
  </sheetViews>
  <sheetFormatPr defaultRowHeight="15" x14ac:dyDescent="0.25"/>
  <cols>
    <col min="1" max="1" width="4" style="20" customWidth="1"/>
    <col min="2" max="2" width="28.25" style="20" customWidth="1"/>
    <col min="3" max="3" width="6.625" style="27" customWidth="1"/>
    <col min="4" max="4" width="28.25" style="20" customWidth="1"/>
    <col min="5" max="5" width="9.125" style="20" customWidth="1"/>
    <col min="6" max="7" width="9" style="20"/>
    <col min="8" max="8" width="49.375" style="20" bestFit="1" customWidth="1"/>
    <col min="9" max="10" width="9" style="20"/>
    <col min="11" max="11" width="27" style="20" customWidth="1"/>
    <col min="12" max="16384" width="9" style="20"/>
  </cols>
  <sheetData>
    <row r="2" spans="1:11" x14ac:dyDescent="0.25">
      <c r="B2" s="30" t="s">
        <v>68</v>
      </c>
      <c r="C2" s="30"/>
      <c r="D2" s="30" t="s">
        <v>69</v>
      </c>
      <c r="E2" s="30" t="s">
        <v>66</v>
      </c>
      <c r="F2" s="30" t="s">
        <v>67</v>
      </c>
      <c r="H2" s="26" t="s">
        <v>77</v>
      </c>
    </row>
    <row r="4" spans="1:11" x14ac:dyDescent="0.25">
      <c r="A4" s="20" t="s">
        <v>70</v>
      </c>
      <c r="B4" s="27" t="s">
        <v>42</v>
      </c>
      <c r="C4" s="27" t="s">
        <v>65</v>
      </c>
      <c r="D4" s="27" t="s">
        <v>63</v>
      </c>
      <c r="E4" s="27"/>
      <c r="F4" s="27">
        <f>'Svolgimento '!C60</f>
        <v>120000</v>
      </c>
      <c r="H4" s="23" t="s">
        <v>72</v>
      </c>
    </row>
    <row r="5" spans="1:11" x14ac:dyDescent="0.25">
      <c r="B5" s="27"/>
      <c r="D5" s="27"/>
      <c r="E5" s="27"/>
      <c r="F5" s="27"/>
    </row>
    <row r="6" spans="1:11" x14ac:dyDescent="0.25">
      <c r="B6" s="32" t="s">
        <v>91</v>
      </c>
      <c r="C6" s="27" t="s">
        <v>65</v>
      </c>
      <c r="D6" s="27" t="s">
        <v>42</v>
      </c>
      <c r="E6" s="27"/>
      <c r="F6" s="27">
        <f>'Svolgimento '!C39</f>
        <v>10000</v>
      </c>
      <c r="H6" s="23" t="s">
        <v>73</v>
      </c>
    </row>
    <row r="7" spans="1:11" x14ac:dyDescent="0.25">
      <c r="B7" s="27"/>
      <c r="D7" s="27"/>
      <c r="E7" s="27"/>
      <c r="F7" s="27"/>
    </row>
    <row r="8" spans="1:11" x14ac:dyDescent="0.25">
      <c r="B8" s="32" t="s">
        <v>92</v>
      </c>
      <c r="C8" s="27" t="s">
        <v>65</v>
      </c>
      <c r="D8" s="27" t="s">
        <v>42</v>
      </c>
      <c r="E8" s="27"/>
      <c r="F8" s="27">
        <f>'Svolgimento '!C38</f>
        <v>24000</v>
      </c>
      <c r="H8" s="23" t="s">
        <v>74</v>
      </c>
    </row>
    <row r="9" spans="1:11" x14ac:dyDescent="0.25">
      <c r="B9" s="25"/>
      <c r="D9" s="25"/>
      <c r="E9" s="27"/>
      <c r="F9" s="27"/>
    </row>
    <row r="10" spans="1:11" x14ac:dyDescent="0.25">
      <c r="B10" s="25" t="s">
        <v>64</v>
      </c>
      <c r="C10" s="27" t="s">
        <v>65</v>
      </c>
      <c r="D10" s="25" t="s">
        <v>42</v>
      </c>
      <c r="E10" s="27"/>
      <c r="F10" s="27">
        <f>'Svolgimento '!D67</f>
        <v>69333.333333333343</v>
      </c>
      <c r="H10" s="125" t="s">
        <v>75</v>
      </c>
      <c r="I10" s="31"/>
      <c r="J10" s="31"/>
      <c r="K10" s="31"/>
    </row>
    <row r="11" spans="1:11" x14ac:dyDescent="0.25">
      <c r="B11" s="25" t="s">
        <v>63</v>
      </c>
      <c r="D11" s="25"/>
      <c r="E11" s="27">
        <f>'Svolgimento '!D65</f>
        <v>66666.666666666672</v>
      </c>
      <c r="F11" s="27"/>
      <c r="H11" s="125"/>
      <c r="I11" s="31"/>
      <c r="J11" s="31"/>
      <c r="K11" s="31"/>
    </row>
    <row r="12" spans="1:11" x14ac:dyDescent="0.25">
      <c r="B12" s="24" t="s">
        <v>90</v>
      </c>
      <c r="D12" s="25"/>
      <c r="E12" s="27">
        <f>'Svolgimento '!D66</f>
        <v>2666.666666666667</v>
      </c>
      <c r="F12" s="27"/>
      <c r="H12" s="125"/>
      <c r="I12" s="31"/>
      <c r="J12" s="31"/>
      <c r="K12" s="31"/>
    </row>
    <row r="13" spans="1:11" x14ac:dyDescent="0.25">
      <c r="B13" s="25"/>
      <c r="D13" s="25"/>
      <c r="E13" s="27"/>
      <c r="F13" s="27"/>
    </row>
    <row r="14" spans="1:11" x14ac:dyDescent="0.25">
      <c r="B14" s="25" t="s">
        <v>26</v>
      </c>
      <c r="C14" s="27" t="s">
        <v>65</v>
      </c>
      <c r="D14" s="24" t="s">
        <v>89</v>
      </c>
      <c r="F14" s="27">
        <f>'Svolgimento '!C41+'Svolgimento '!E57</f>
        <v>36510</v>
      </c>
      <c r="H14" s="23" t="s">
        <v>76</v>
      </c>
    </row>
    <row r="15" spans="1:11" x14ac:dyDescent="0.25">
      <c r="B15" s="25"/>
      <c r="D15" s="25"/>
      <c r="E15" s="27"/>
      <c r="F15" s="27"/>
    </row>
    <row r="16" spans="1:11" x14ac:dyDescent="0.25">
      <c r="B16" s="25"/>
      <c r="D16" s="25"/>
      <c r="E16" s="27"/>
      <c r="F16" s="27"/>
    </row>
    <row r="17" spans="1:8" x14ac:dyDescent="0.25">
      <c r="A17" s="23" t="s">
        <v>106</v>
      </c>
      <c r="B17" s="27" t="s">
        <v>42</v>
      </c>
      <c r="C17" s="27" t="s">
        <v>65</v>
      </c>
      <c r="D17" s="24" t="s">
        <v>107</v>
      </c>
      <c r="E17" s="27"/>
      <c r="F17" s="27">
        <v>90000</v>
      </c>
      <c r="H17" s="23" t="s">
        <v>115</v>
      </c>
    </row>
    <row r="18" spans="1:8" x14ac:dyDescent="0.25">
      <c r="B18" s="25"/>
      <c r="D18" s="25"/>
      <c r="E18" s="27"/>
      <c r="F18" s="27"/>
    </row>
    <row r="19" spans="1:8" x14ac:dyDescent="0.25">
      <c r="B19" s="24" t="s">
        <v>113</v>
      </c>
      <c r="C19" s="27" t="s">
        <v>65</v>
      </c>
      <c r="D19" s="27" t="s">
        <v>42</v>
      </c>
      <c r="E19" s="27"/>
      <c r="F19" s="27">
        <f>'Svolgimento '!C80</f>
        <v>90000</v>
      </c>
      <c r="H19" s="23" t="s">
        <v>116</v>
      </c>
    </row>
    <row r="20" spans="1:8" x14ac:dyDescent="0.25">
      <c r="B20" s="25"/>
      <c r="D20" s="25"/>
      <c r="E20" s="27"/>
      <c r="F20" s="27"/>
    </row>
    <row r="21" spans="1:8" x14ac:dyDescent="0.25">
      <c r="B21" s="24" t="s">
        <v>32</v>
      </c>
      <c r="C21" s="27" t="s">
        <v>65</v>
      </c>
      <c r="D21" s="24" t="s">
        <v>114</v>
      </c>
      <c r="E21" s="27"/>
      <c r="F21" s="27">
        <f>'Svolgimento '!C83</f>
        <v>1587.9452054794524</v>
      </c>
      <c r="H21" s="23" t="s">
        <v>117</v>
      </c>
    </row>
    <row r="22" spans="1:8" x14ac:dyDescent="0.25">
      <c r="B22" s="25"/>
      <c r="D22" s="25"/>
      <c r="E22" s="27"/>
      <c r="F22" s="27"/>
    </row>
    <row r="23" spans="1:8" x14ac:dyDescent="0.25">
      <c r="B23" s="25"/>
      <c r="D23" s="25"/>
      <c r="E23" s="27"/>
      <c r="F23" s="27"/>
    </row>
    <row r="24" spans="1:8" x14ac:dyDescent="0.25">
      <c r="A24" s="23" t="s">
        <v>121</v>
      </c>
      <c r="B24" s="24" t="s">
        <v>130</v>
      </c>
      <c r="C24" s="32" t="s">
        <v>65</v>
      </c>
      <c r="D24" s="24" t="s">
        <v>131</v>
      </c>
      <c r="E24" s="27"/>
      <c r="F24" s="27">
        <f>'Svolgimento '!F102</f>
        <v>1166.6666666666667</v>
      </c>
      <c r="H24" s="23" t="s">
        <v>132</v>
      </c>
    </row>
    <row r="25" spans="1:8" x14ac:dyDescent="0.25">
      <c r="B25" s="25"/>
      <c r="D25" s="25"/>
      <c r="E25" s="27"/>
      <c r="F25" s="27"/>
    </row>
    <row r="26" spans="1:8" x14ac:dyDescent="0.25">
      <c r="B26" s="25" t="s">
        <v>64</v>
      </c>
      <c r="C26" s="32" t="s">
        <v>65</v>
      </c>
      <c r="D26" s="25" t="s">
        <v>64</v>
      </c>
      <c r="E26" s="27"/>
      <c r="F26" s="20">
        <f>E27+E28</f>
        <v>100416.66666666667</v>
      </c>
      <c r="H26" s="125" t="s">
        <v>136</v>
      </c>
    </row>
    <row r="27" spans="1:8" x14ac:dyDescent="0.25">
      <c r="D27" s="24" t="s">
        <v>78</v>
      </c>
      <c r="E27" s="20">
        <f>'Svolgimento '!B102</f>
        <v>70000</v>
      </c>
      <c r="H27" s="127"/>
    </row>
    <row r="28" spans="1:8" x14ac:dyDescent="0.25">
      <c r="D28" s="24" t="s">
        <v>133</v>
      </c>
      <c r="E28" s="20">
        <f>'Svolgimento '!H102</f>
        <v>30416.666666666668</v>
      </c>
      <c r="H28" s="127"/>
    </row>
    <row r="29" spans="1:8" x14ac:dyDescent="0.25">
      <c r="B29" s="24" t="s">
        <v>131</v>
      </c>
      <c r="C29" s="20"/>
      <c r="E29" s="20">
        <f>'Svolgimento '!C98+'Svolgimento '!F102</f>
        <v>69416.666666666672</v>
      </c>
      <c r="H29" s="127"/>
    </row>
    <row r="30" spans="1:8" x14ac:dyDescent="0.25">
      <c r="B30" s="27" t="s">
        <v>42</v>
      </c>
      <c r="C30" s="20"/>
      <c r="E30" s="20">
        <f>'Svolgimento '!C97</f>
        <v>31000</v>
      </c>
      <c r="H30" s="127"/>
    </row>
    <row r="31" spans="1:8" x14ac:dyDescent="0.25">
      <c r="B31" s="25"/>
      <c r="D31" s="25"/>
      <c r="E31" s="27"/>
      <c r="F31" s="27"/>
    </row>
    <row r="32" spans="1:8" x14ac:dyDescent="0.25">
      <c r="B32" s="24" t="s">
        <v>135</v>
      </c>
      <c r="C32" s="32" t="s">
        <v>65</v>
      </c>
      <c r="D32" s="24" t="s">
        <v>42</v>
      </c>
      <c r="E32" s="27"/>
      <c r="F32" s="27">
        <f>'Svolgimento '!C105</f>
        <v>31000</v>
      </c>
      <c r="H32" s="23" t="s">
        <v>137</v>
      </c>
    </row>
    <row r="33" spans="1:8" x14ac:dyDescent="0.25">
      <c r="B33" s="25"/>
      <c r="D33" s="25"/>
      <c r="E33" s="27"/>
      <c r="F33" s="27"/>
    </row>
    <row r="34" spans="1:8" x14ac:dyDescent="0.25">
      <c r="B34" s="25"/>
      <c r="D34" s="25"/>
      <c r="E34" s="27"/>
      <c r="F34" s="27"/>
    </row>
    <row r="35" spans="1:8" x14ac:dyDescent="0.25">
      <c r="A35" s="23" t="s">
        <v>138</v>
      </c>
      <c r="B35" s="24" t="s">
        <v>146</v>
      </c>
      <c r="C35" s="32" t="s">
        <v>65</v>
      </c>
      <c r="D35" s="24" t="s">
        <v>147</v>
      </c>
      <c r="E35" s="27"/>
      <c r="F35" s="27">
        <f>'Svolgimento '!D115</f>
        <v>5000</v>
      </c>
      <c r="H35" s="23" t="s">
        <v>148</v>
      </c>
    </row>
    <row r="36" spans="1:8" x14ac:dyDescent="0.25">
      <c r="B36" s="25"/>
      <c r="D36" s="25"/>
      <c r="E36" s="27"/>
      <c r="F36" s="27"/>
    </row>
    <row r="37" spans="1:8" x14ac:dyDescent="0.25">
      <c r="B37" s="25"/>
      <c r="D37" s="25"/>
      <c r="E37" s="27"/>
      <c r="F37" s="27"/>
    </row>
    <row r="38" spans="1:8" x14ac:dyDescent="0.25">
      <c r="A38" s="23" t="s">
        <v>149</v>
      </c>
      <c r="B38" s="32" t="s">
        <v>91</v>
      </c>
      <c r="C38" s="32" t="s">
        <v>65</v>
      </c>
      <c r="D38" s="24" t="s">
        <v>152</v>
      </c>
      <c r="E38" s="27"/>
      <c r="F38" s="27">
        <f>'Svolgimento '!C136</f>
        <v>30000</v>
      </c>
      <c r="H38" s="23" t="s">
        <v>155</v>
      </c>
    </row>
    <row r="39" spans="1:8" x14ac:dyDescent="0.25">
      <c r="B39" s="32"/>
      <c r="C39" s="32"/>
      <c r="D39" s="24"/>
      <c r="E39" s="27"/>
      <c r="F39" s="27"/>
    </row>
    <row r="40" spans="1:8" x14ac:dyDescent="0.25">
      <c r="B40" s="32" t="s">
        <v>153</v>
      </c>
      <c r="C40" s="32" t="s">
        <v>65</v>
      </c>
      <c r="D40" s="24" t="s">
        <v>154</v>
      </c>
      <c r="E40" s="27"/>
      <c r="F40" s="27">
        <f>'Svolgimento '!C136</f>
        <v>30000</v>
      </c>
      <c r="H40" s="23" t="s">
        <v>156</v>
      </c>
    </row>
    <row r="41" spans="1:8" x14ac:dyDescent="0.25">
      <c r="B41" s="32"/>
      <c r="C41" s="32"/>
      <c r="D41" s="24"/>
      <c r="E41" s="27"/>
      <c r="F41" s="27"/>
    </row>
    <row r="42" spans="1:8" x14ac:dyDescent="0.25">
      <c r="B42" s="32"/>
      <c r="C42" s="32"/>
      <c r="D42" s="24"/>
      <c r="E42" s="27"/>
      <c r="F42" s="27"/>
    </row>
    <row r="43" spans="1:8" x14ac:dyDescent="0.25">
      <c r="A43" s="128" t="s">
        <v>237</v>
      </c>
      <c r="C43" s="32" t="s">
        <v>65</v>
      </c>
      <c r="D43" s="24" t="s">
        <v>160</v>
      </c>
      <c r="E43" s="27"/>
      <c r="F43" s="27">
        <f>'Svolgimento '!C142</f>
        <v>65000</v>
      </c>
      <c r="H43" s="125" t="s">
        <v>167</v>
      </c>
    </row>
    <row r="44" spans="1:8" x14ac:dyDescent="0.25">
      <c r="B44" s="32" t="s">
        <v>159</v>
      </c>
      <c r="C44" s="32"/>
      <c r="D44" s="24"/>
      <c r="E44" s="27">
        <f>'Svolgimento '!C145</f>
        <v>32500</v>
      </c>
      <c r="F44" s="27"/>
      <c r="H44" s="127"/>
    </row>
    <row r="45" spans="1:8" x14ac:dyDescent="0.25">
      <c r="B45" s="32" t="s">
        <v>161</v>
      </c>
      <c r="C45" s="32"/>
      <c r="D45" s="24"/>
      <c r="E45" s="27">
        <f>'Svolgimento '!C143</f>
        <v>32500</v>
      </c>
      <c r="F45" s="27"/>
      <c r="H45" s="127"/>
    </row>
    <row r="46" spans="1:8" x14ac:dyDescent="0.25">
      <c r="B46" s="32"/>
      <c r="C46" s="32"/>
      <c r="D46" s="24"/>
      <c r="E46" s="27"/>
      <c r="F46" s="27"/>
    </row>
    <row r="47" spans="1:8" x14ac:dyDescent="0.25">
      <c r="B47" s="32" t="s">
        <v>195</v>
      </c>
      <c r="C47" s="32" t="s">
        <v>65</v>
      </c>
      <c r="D47" s="24" t="s">
        <v>165</v>
      </c>
      <c r="E47" s="27"/>
      <c r="F47" s="27">
        <f>'Svolgimento '!C149</f>
        <v>80000</v>
      </c>
      <c r="H47" s="23" t="s">
        <v>173</v>
      </c>
    </row>
    <row r="48" spans="1:8" x14ac:dyDescent="0.25">
      <c r="B48" s="32"/>
      <c r="C48" s="32"/>
      <c r="D48" s="24"/>
      <c r="E48" s="27"/>
      <c r="F48" s="27"/>
    </row>
    <row r="49" spans="1:8" x14ac:dyDescent="0.25">
      <c r="B49" s="25" t="s">
        <v>64</v>
      </c>
      <c r="C49" s="32" t="s">
        <v>65</v>
      </c>
      <c r="D49" s="25" t="s">
        <v>64</v>
      </c>
      <c r="E49" s="27"/>
      <c r="F49" s="27">
        <f>SUM(E50:E55)</f>
        <v>349000</v>
      </c>
      <c r="H49" s="125" t="s">
        <v>179</v>
      </c>
    </row>
    <row r="50" spans="1:8" x14ac:dyDescent="0.25">
      <c r="B50" s="48" t="s">
        <v>180</v>
      </c>
      <c r="C50" s="32"/>
      <c r="D50" s="24"/>
      <c r="E50" s="27">
        <f>'Svolgimento '!E154</f>
        <v>22500</v>
      </c>
      <c r="F50" s="27"/>
      <c r="H50" s="127"/>
    </row>
    <row r="51" spans="1:8" x14ac:dyDescent="0.25">
      <c r="B51" s="48" t="s">
        <v>130</v>
      </c>
      <c r="C51" s="32"/>
      <c r="D51" s="24"/>
      <c r="E51" s="27">
        <f>'Svolgimento '!E155</f>
        <v>52500</v>
      </c>
      <c r="F51" s="27"/>
      <c r="H51" s="127"/>
    </row>
    <row r="52" spans="1:8" x14ac:dyDescent="0.25">
      <c r="B52" s="48" t="s">
        <v>181</v>
      </c>
      <c r="C52" s="32"/>
      <c r="D52" s="24"/>
      <c r="E52" s="27">
        <f>'Svolgimento '!E156</f>
        <v>21000</v>
      </c>
      <c r="F52" s="27"/>
      <c r="H52" s="127"/>
    </row>
    <row r="53" spans="1:8" x14ac:dyDescent="0.25">
      <c r="B53" s="48" t="s">
        <v>182</v>
      </c>
      <c r="C53" s="32"/>
      <c r="D53" s="24"/>
      <c r="E53" s="27">
        <f>'Svolgimento '!E158</f>
        <v>13000</v>
      </c>
      <c r="F53" s="27"/>
      <c r="H53" s="127"/>
    </row>
    <row r="54" spans="1:8" x14ac:dyDescent="0.25">
      <c r="B54" s="48" t="s">
        <v>183</v>
      </c>
      <c r="C54" s="32"/>
      <c r="D54" s="24"/>
      <c r="E54" s="27">
        <f>'Svolgimento '!E161</f>
        <v>40000</v>
      </c>
      <c r="F54" s="27"/>
      <c r="H54" s="127"/>
    </row>
    <row r="55" spans="1:8" x14ac:dyDescent="0.25">
      <c r="B55" s="48" t="s">
        <v>184</v>
      </c>
      <c r="C55" s="32"/>
      <c r="D55" s="24"/>
      <c r="E55" s="27">
        <f>'Svolgimento '!E162</f>
        <v>200000</v>
      </c>
      <c r="F55" s="27"/>
      <c r="H55" s="127"/>
    </row>
    <row r="56" spans="1:8" x14ac:dyDescent="0.25">
      <c r="B56" s="48"/>
      <c r="C56" s="32"/>
      <c r="D56" s="48" t="s">
        <v>174</v>
      </c>
      <c r="E56" s="27">
        <f>E50</f>
        <v>22500</v>
      </c>
      <c r="F56" s="27"/>
      <c r="H56" s="127"/>
    </row>
    <row r="57" spans="1:8" x14ac:dyDescent="0.25">
      <c r="B57" s="48"/>
      <c r="C57" s="32"/>
      <c r="D57" s="48" t="s">
        <v>131</v>
      </c>
      <c r="E57" s="27">
        <f t="shared" ref="E57:E61" si="0">E51</f>
        <v>52500</v>
      </c>
      <c r="F57" s="27"/>
      <c r="H57" s="127"/>
    </row>
    <row r="58" spans="1:8" x14ac:dyDescent="0.25">
      <c r="B58" s="48"/>
      <c r="C58" s="32"/>
      <c r="D58" s="48" t="s">
        <v>175</v>
      </c>
      <c r="E58" s="27">
        <f t="shared" si="0"/>
        <v>21000</v>
      </c>
      <c r="F58" s="27"/>
      <c r="H58" s="127"/>
    </row>
    <row r="59" spans="1:8" x14ac:dyDescent="0.25">
      <c r="B59" s="48"/>
      <c r="C59" s="32"/>
      <c r="D59" s="48" t="s">
        <v>176</v>
      </c>
      <c r="E59" s="27">
        <f t="shared" si="0"/>
        <v>13000</v>
      </c>
      <c r="F59" s="27"/>
      <c r="H59" s="127"/>
    </row>
    <row r="60" spans="1:8" x14ac:dyDescent="0.25">
      <c r="B60" s="48"/>
      <c r="C60" s="32"/>
      <c r="D60" s="48" t="s">
        <v>177</v>
      </c>
      <c r="E60" s="27">
        <f t="shared" si="0"/>
        <v>40000</v>
      </c>
      <c r="F60" s="27"/>
      <c r="H60" s="127"/>
    </row>
    <row r="61" spans="1:8" x14ac:dyDescent="0.25">
      <c r="B61" s="48"/>
      <c r="C61" s="32"/>
      <c r="D61" s="48" t="s">
        <v>178</v>
      </c>
      <c r="E61" s="27">
        <f t="shared" si="0"/>
        <v>200000</v>
      </c>
      <c r="F61" s="27"/>
      <c r="H61" s="127"/>
    </row>
    <row r="62" spans="1:8" x14ac:dyDescent="0.25">
      <c r="B62" s="48"/>
      <c r="C62" s="32"/>
      <c r="D62" s="24"/>
      <c r="E62" s="27"/>
      <c r="F62" s="27"/>
    </row>
    <row r="63" spans="1:8" x14ac:dyDescent="0.25">
      <c r="B63" s="48"/>
      <c r="C63" s="32"/>
      <c r="D63" s="24"/>
      <c r="E63" s="27"/>
      <c r="F63" s="27"/>
    </row>
    <row r="64" spans="1:8" x14ac:dyDescent="0.25">
      <c r="A64" s="23" t="s">
        <v>185</v>
      </c>
      <c r="B64" s="48" t="s">
        <v>189</v>
      </c>
      <c r="C64" s="32" t="s">
        <v>65</v>
      </c>
      <c r="D64" s="24" t="s">
        <v>190</v>
      </c>
      <c r="E64" s="27"/>
      <c r="F64" s="27">
        <f>'Svolgimento '!C173</f>
        <v>700000</v>
      </c>
      <c r="H64" s="23" t="s">
        <v>191</v>
      </c>
    </row>
    <row r="66" spans="1:8" x14ac:dyDescent="0.25">
      <c r="B66" s="32" t="s">
        <v>91</v>
      </c>
      <c r="C66" s="32" t="s">
        <v>65</v>
      </c>
      <c r="D66" s="24" t="s">
        <v>152</v>
      </c>
      <c r="F66" s="20">
        <f>'Svolgimento '!C174</f>
        <v>100000</v>
      </c>
      <c r="H66" s="23" t="s">
        <v>192</v>
      </c>
    </row>
    <row r="67" spans="1:8" x14ac:dyDescent="0.25">
      <c r="B67" s="32"/>
      <c r="C67" s="32"/>
      <c r="D67" s="24"/>
      <c r="H67" s="23"/>
    </row>
    <row r="68" spans="1:8" x14ac:dyDescent="0.25">
      <c r="A68" s="128" t="s">
        <v>157</v>
      </c>
      <c r="B68" s="48" t="s">
        <v>238</v>
      </c>
      <c r="C68" s="32" t="s">
        <v>65</v>
      </c>
      <c r="D68" s="129" t="s">
        <v>17</v>
      </c>
      <c r="E68" s="27"/>
      <c r="F68" s="27">
        <f>'Svolgimento '!C178</f>
        <v>94000</v>
      </c>
      <c r="H68" s="128" t="s">
        <v>240</v>
      </c>
    </row>
    <row r="70" spans="1:8" ht="30" customHeight="1" x14ac:dyDescent="0.25">
      <c r="A70" s="33" t="s">
        <v>71</v>
      </c>
      <c r="B70" s="126" t="s">
        <v>93</v>
      </c>
      <c r="C70" s="126"/>
      <c r="D70" s="126"/>
      <c r="E70" s="126"/>
      <c r="F70" s="126"/>
      <c r="G70" s="126"/>
      <c r="H70" s="126"/>
    </row>
  </sheetData>
  <mergeCells count="5">
    <mergeCell ref="H10:H12"/>
    <mergeCell ref="B70:H70"/>
    <mergeCell ref="H26:H30"/>
    <mergeCell ref="H43:H45"/>
    <mergeCell ref="H49:H6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59" sqref="N59"/>
    </sheetView>
  </sheetViews>
  <sheetFormatPr defaultRowHeight="14.2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Errata Corrige</vt:lpstr>
      <vt:lpstr>Testo</vt:lpstr>
      <vt:lpstr>Svolgimento </vt:lpstr>
      <vt:lpstr>Scritture contabili</vt:lpstr>
      <vt:lpstr>Slide OIC9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2015-10-22T15:44:07Z</dcterms:created>
  <dcterms:modified xsi:type="dcterms:W3CDTF">2016-10-10T14:36:00Z</dcterms:modified>
</cp:coreProperties>
</file>