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" yWindow="1320" windowWidth="20115" windowHeight="8580" tabRatio="947" firstSheet="3" activeTab="5"/>
  </bookViews>
  <sheets>
    <sheet name="DATA" sheetId="30" r:id="rId1"/>
    <sheet name="situazione patrimoniale finanzi" sheetId="4" r:id="rId2"/>
    <sheet name="struttura patr riclassificata" sheetId="3" r:id="rId3"/>
    <sheet name="CE per natura" sheetId="52" r:id="rId4"/>
    <sheet name="Prospetto di ricon PN ifrs" sheetId="55" r:id="rId5"/>
    <sheet name="Prospetto di ricon PN ita" sheetId="27" r:id="rId6"/>
    <sheet name="Calcolcolo rendic 2015" sheetId="51" r:id="rId7"/>
    <sheet name="Calcolcolo rendic 2014" sheetId="42" r:id="rId8"/>
    <sheet name="Rendiconto" sheetId="43" r:id="rId9"/>
    <sheet name="Tabelle SP e CE appendice A" sheetId="29" r:id="rId10"/>
    <sheet name="Prospetto variazioni PN" sheetId="7" r:id="rId11"/>
    <sheet name="Indic eco patrimoniali" sheetId="2" r:id="rId12"/>
    <sheet name="PFN" sheetId="1" r:id="rId13"/>
    <sheet name="Attività immateriali" sheetId="8" r:id="rId14"/>
    <sheet name="imm. materiali" sheetId="9" r:id="rId15"/>
    <sheet name="Altre attività non correnti" sheetId="31" r:id="rId16"/>
    <sheet name="Altri crediti correnti" sheetId="33" r:id="rId17"/>
    <sheet name="cred comm" sheetId="13" r:id="rId18"/>
    <sheet name="rimanenze" sheetId="11" r:id="rId19"/>
    <sheet name="disponibilità liquide" sheetId="14" r:id="rId20"/>
    <sheet name="attività finanziarie" sheetId="12" r:id="rId21"/>
    <sheet name="Patrim netto" sheetId="34" r:id="rId22"/>
    <sheet name="Fondo rischi" sheetId="35" r:id="rId23"/>
    <sheet name="TFR" sheetId="36" r:id="rId24"/>
    <sheet name="passività finanz non correnti" sheetId="18" r:id="rId25"/>
    <sheet name="imposte differite" sheetId="19" r:id="rId26"/>
    <sheet name="Debiti commerciali" sheetId="38" r:id="rId27"/>
    <sheet name="passività finanz corren " sheetId="37" r:id="rId28"/>
    <sheet name="Altre pass correnti" sheetId="40" r:id="rId29"/>
    <sheet name="Debiti tributari" sheetId="39" r:id="rId30"/>
    <sheet name="cred tributari" sheetId="32" r:id="rId31"/>
    <sheet name="ricavi " sheetId="44" r:id="rId32"/>
    <sheet name="costi " sheetId="45" r:id="rId33"/>
    <sheet name="costi personale " sheetId="46" r:id="rId34"/>
    <sheet name="ammortamenti e svalutaz" sheetId="47" r:id="rId35"/>
    <sheet name="oneri diversi di gestione" sheetId="48" r:id="rId36"/>
    <sheet name="proventi e oneri finanziari" sheetId="49" r:id="rId37"/>
    <sheet name="imposte " sheetId="50" r:id="rId38"/>
    <sheet name="Prosp ricon RE" sheetId="28" r:id="rId39"/>
    <sheet name="Aliquote ammort" sheetId="53" r:id="rId40"/>
    <sheet name="dipendenti" sheetId="54" r:id="rId41"/>
  </sheets>
  <definedNames>
    <definedName name="_xlnm._FilterDatabase" localSheetId="0" hidden="1">DATA!$F$2:$U$592</definedName>
  </definedNames>
  <calcPr calcId="145621"/>
</workbook>
</file>

<file path=xl/calcChain.xml><?xml version="1.0" encoding="utf-8"?>
<calcChain xmlns="http://schemas.openxmlformats.org/spreadsheetml/2006/main">
  <c r="J10" i="19" l="1"/>
  <c r="G8" i="19"/>
  <c r="G11" i="19" s="1"/>
  <c r="H18" i="27" l="1"/>
  <c r="N9" i="29" l="1"/>
  <c r="O97" i="43" l="1"/>
  <c r="O96" i="43" s="1"/>
  <c r="H115" i="43"/>
  <c r="H106" i="43"/>
  <c r="H83" i="43"/>
  <c r="I88" i="43"/>
  <c r="H88" i="43" s="1"/>
  <c r="O113" i="43"/>
  <c r="O102" i="43"/>
  <c r="O105" i="43"/>
  <c r="O87" i="43"/>
  <c r="J91" i="43"/>
  <c r="I91" i="43"/>
  <c r="O91" i="43"/>
  <c r="O92" i="43" s="1"/>
  <c r="E20" i="51"/>
  <c r="F20" i="51"/>
  <c r="E20" i="42"/>
  <c r="F20" i="42"/>
  <c r="O114" i="43" l="1"/>
  <c r="O115" i="43" s="1"/>
  <c r="W299" i="30" l="1"/>
  <c r="W298" i="30"/>
  <c r="E78" i="42"/>
  <c r="I112" i="43"/>
  <c r="J112" i="43"/>
  <c r="H15" i="9" l="1"/>
  <c r="H16" i="9"/>
  <c r="N88" i="43" l="1"/>
  <c r="I103" i="43"/>
  <c r="N103" i="43" s="1"/>
  <c r="N112" i="43"/>
  <c r="Q111" i="43"/>
  <c r="N111" i="43"/>
  <c r="Q107" i="43"/>
  <c r="Q104" i="43"/>
  <c r="Q101" i="43"/>
  <c r="Q98" i="43"/>
  <c r="N91" i="43"/>
  <c r="N84" i="43"/>
  <c r="Q82" i="43"/>
  <c r="N82" i="43"/>
  <c r="P111" i="43" l="1"/>
  <c r="P82" i="43"/>
  <c r="F10" i="4"/>
  <c r="F8" i="29" s="1"/>
  <c r="E10" i="4"/>
  <c r="D10" i="4"/>
  <c r="J8" i="29"/>
  <c r="D8" i="29"/>
  <c r="L8" i="29" l="1"/>
  <c r="U592" i="30"/>
  <c r="T592" i="30"/>
  <c r="E22" i="49" l="1"/>
  <c r="D22" i="49"/>
  <c r="E21" i="49"/>
  <c r="D21" i="49"/>
  <c r="E20" i="49"/>
  <c r="D20" i="49"/>
  <c r="E4" i="48"/>
  <c r="F20" i="49" l="1"/>
  <c r="F21" i="49"/>
  <c r="F22" i="49"/>
  <c r="D6" i="35"/>
  <c r="C6" i="35"/>
  <c r="D5" i="35"/>
  <c r="C5" i="35"/>
  <c r="D8" i="40"/>
  <c r="C8" i="40"/>
  <c r="E8" i="40" l="1"/>
  <c r="E6" i="35"/>
  <c r="I24" i="19"/>
  <c r="E21" i="19"/>
  <c r="H24" i="19" l="1"/>
  <c r="J23" i="19"/>
  <c r="J20" i="19"/>
  <c r="J19" i="19"/>
  <c r="K10" i="19"/>
  <c r="K9" i="19"/>
  <c r="K7" i="19"/>
  <c r="K6" i="19"/>
  <c r="K5" i="19"/>
  <c r="J24" i="19"/>
  <c r="F8" i="19"/>
  <c r="F11" i="19" s="1"/>
  <c r="J21" i="19"/>
  <c r="N33" i="19" l="1"/>
  <c r="O33" i="19"/>
  <c r="O32" i="19"/>
  <c r="N32" i="19"/>
  <c r="O31" i="19"/>
  <c r="N31" i="19"/>
  <c r="P32" i="19" l="1"/>
  <c r="P33" i="19"/>
  <c r="P31" i="19"/>
  <c r="K32" i="9"/>
  <c r="K31" i="9"/>
  <c r="M32" i="9" l="1"/>
  <c r="M31" i="9"/>
  <c r="K29" i="9" l="1"/>
  <c r="J29" i="9"/>
  <c r="I29" i="9"/>
  <c r="H29" i="9"/>
  <c r="L42" i="9" l="1"/>
  <c r="L41" i="9"/>
  <c r="K42" i="9"/>
  <c r="K41" i="9"/>
  <c r="J42" i="9"/>
  <c r="J41" i="9"/>
  <c r="H42" i="9"/>
  <c r="H41" i="9"/>
  <c r="I42" i="9"/>
  <c r="I41" i="9"/>
  <c r="L33" i="9"/>
  <c r="J33" i="9"/>
  <c r="I33" i="9"/>
  <c r="H33" i="9"/>
  <c r="M30" i="9"/>
  <c r="L30" i="9"/>
  <c r="L29" i="9" s="1"/>
  <c r="J30" i="9"/>
  <c r="I30" i="9"/>
  <c r="H30" i="9"/>
  <c r="L22" i="9"/>
  <c r="L20" i="9"/>
  <c r="K22" i="9"/>
  <c r="K20" i="9"/>
  <c r="J22" i="9"/>
  <c r="J20" i="9"/>
  <c r="I22" i="9"/>
  <c r="I20" i="9"/>
  <c r="H22" i="9"/>
  <c r="H26" i="9" s="1"/>
  <c r="H20" i="9"/>
  <c r="H25" i="9" s="1"/>
  <c r="L16" i="9"/>
  <c r="L15" i="9"/>
  <c r="K16" i="9"/>
  <c r="K15" i="9"/>
  <c r="J16" i="9"/>
  <c r="J15" i="9"/>
  <c r="I16" i="9"/>
  <c r="I15" i="9"/>
  <c r="I43" i="9" l="1"/>
  <c r="J43" i="9"/>
  <c r="L43" i="9"/>
  <c r="H43" i="9"/>
  <c r="K43" i="9"/>
  <c r="M42" i="9"/>
  <c r="M41" i="9"/>
  <c r="I25" i="9"/>
  <c r="I36" i="9" s="1"/>
  <c r="K25" i="9"/>
  <c r="K36" i="9" s="1"/>
  <c r="J25" i="9"/>
  <c r="J36" i="9" s="1"/>
  <c r="L25" i="9"/>
  <c r="L36" i="9" s="1"/>
  <c r="J26" i="9"/>
  <c r="J37" i="9" s="1"/>
  <c r="L26" i="9"/>
  <c r="L37" i="9" s="1"/>
  <c r="I26" i="9"/>
  <c r="I37" i="9" s="1"/>
  <c r="K26" i="9"/>
  <c r="H37" i="9"/>
  <c r="M43" i="9" l="1"/>
  <c r="D5" i="9"/>
  <c r="E5" i="9"/>
  <c r="D6" i="9"/>
  <c r="E6" i="9"/>
  <c r="D7" i="9"/>
  <c r="E7" i="9"/>
  <c r="D8" i="9"/>
  <c r="E8" i="9"/>
  <c r="E4" i="9"/>
  <c r="D4" i="9"/>
  <c r="M13" i="51" l="1"/>
  <c r="M12" i="51"/>
  <c r="M12" i="42"/>
  <c r="M13" i="42"/>
  <c r="G17" i="7" l="1"/>
  <c r="H34" i="7"/>
  <c r="H31" i="7"/>
  <c r="H30" i="7"/>
  <c r="H29" i="7"/>
  <c r="H26" i="7"/>
  <c r="H25" i="7"/>
  <c r="H23" i="7"/>
  <c r="H16" i="7"/>
  <c r="H15" i="7"/>
  <c r="H13" i="7"/>
  <c r="H12" i="7"/>
  <c r="H11" i="7"/>
  <c r="H8" i="7"/>
  <c r="H7" i="7"/>
  <c r="H5" i="7"/>
  <c r="G27" i="7"/>
  <c r="G35" i="7" s="1"/>
  <c r="D24" i="7"/>
  <c r="D6" i="7"/>
  <c r="C9" i="7"/>
  <c r="H9" i="7" s="1"/>
  <c r="C6" i="7"/>
  <c r="H6" i="7" s="1"/>
  <c r="C4" i="7"/>
  <c r="H4" i="7" s="1"/>
  <c r="H26" i="27" l="1"/>
  <c r="J14" i="55" l="1"/>
  <c r="J18" i="55"/>
  <c r="J15" i="55"/>
  <c r="F23" i="52"/>
  <c r="F28" i="52"/>
  <c r="I10" i="55" s="1"/>
  <c r="G4" i="55"/>
  <c r="F4" i="55"/>
  <c r="E4" i="55"/>
  <c r="D4" i="55"/>
  <c r="L81" i="29"/>
  <c r="J81" i="29"/>
  <c r="L72" i="29"/>
  <c r="J72" i="29"/>
  <c r="H13" i="55" l="1"/>
  <c r="F14" i="7"/>
  <c r="E30" i="4"/>
  <c r="F31" i="52" l="1"/>
  <c r="D7" i="34"/>
  <c r="D33" i="7"/>
  <c r="H33" i="7" s="1"/>
  <c r="F17" i="7"/>
  <c r="J10" i="55" l="1"/>
  <c r="J8" i="55"/>
  <c r="J7" i="55"/>
  <c r="J5" i="55"/>
  <c r="H11" i="55"/>
  <c r="H19" i="55" s="1"/>
  <c r="I6" i="55"/>
  <c r="J6" i="55" s="1"/>
  <c r="G11" i="55"/>
  <c r="G19" i="55" s="1"/>
  <c r="F11" i="55"/>
  <c r="E11" i="55"/>
  <c r="D11" i="55"/>
  <c r="E19" i="55" l="1"/>
  <c r="D19" i="55"/>
  <c r="G13" i="27"/>
  <c r="F13" i="27"/>
  <c r="D13" i="27"/>
  <c r="D15" i="27" s="1"/>
  <c r="D23" i="27" s="1"/>
  <c r="L76" i="29"/>
  <c r="J76" i="29"/>
  <c r="K81" i="29" l="1"/>
  <c r="K76" i="29"/>
  <c r="K72" i="29"/>
  <c r="F9" i="54"/>
  <c r="E16" i="49" l="1"/>
  <c r="E15" i="49"/>
  <c r="E4" i="49"/>
  <c r="F17" i="44"/>
  <c r="F16" i="44"/>
  <c r="F15" i="44"/>
  <c r="F14" i="44"/>
  <c r="F5" i="44"/>
  <c r="F4" i="44"/>
  <c r="E17" i="49" l="1"/>
  <c r="E21" i="50"/>
  <c r="F25" i="52"/>
  <c r="F21" i="52"/>
  <c r="E10" i="2" s="1"/>
  <c r="F13" i="52"/>
  <c r="F14" i="52"/>
  <c r="E7" i="2" s="1"/>
  <c r="F15" i="52"/>
  <c r="F16" i="52"/>
  <c r="F17" i="52"/>
  <c r="F12" i="52"/>
  <c r="F8" i="52"/>
  <c r="F9" i="52"/>
  <c r="F7" i="52"/>
  <c r="E15" i="52"/>
  <c r="E16" i="52"/>
  <c r="L68" i="29"/>
  <c r="J68" i="29"/>
  <c r="J62" i="29"/>
  <c r="L62" i="29"/>
  <c r="L61" i="29"/>
  <c r="L60" i="29"/>
  <c r="L59" i="29"/>
  <c r="L58" i="29"/>
  <c r="L57" i="29"/>
  <c r="J59" i="29"/>
  <c r="J58" i="29"/>
  <c r="J57" i="29"/>
  <c r="J60" i="29"/>
  <c r="J61" i="29"/>
  <c r="J51" i="29"/>
  <c r="L51" i="29"/>
  <c r="J52" i="29"/>
  <c r="L52" i="29"/>
  <c r="L50" i="29"/>
  <c r="J50" i="29"/>
  <c r="E6" i="2" l="1"/>
  <c r="K61" i="29"/>
  <c r="K51" i="29"/>
  <c r="K52" i="29"/>
  <c r="K60" i="29"/>
  <c r="F7" i="44"/>
  <c r="F19" i="44"/>
  <c r="F18" i="52"/>
  <c r="F10" i="52"/>
  <c r="E5" i="2" s="1"/>
  <c r="K68" i="29"/>
  <c r="K62" i="29"/>
  <c r="K59" i="29"/>
  <c r="K57" i="29"/>
  <c r="K58" i="29"/>
  <c r="J64" i="29"/>
  <c r="L54" i="29"/>
  <c r="J54" i="29"/>
  <c r="L64" i="29"/>
  <c r="K50" i="29"/>
  <c r="E68" i="51"/>
  <c r="E69" i="51" s="1"/>
  <c r="E65" i="51"/>
  <c r="Q55" i="51"/>
  <c r="P55" i="51"/>
  <c r="O55" i="51"/>
  <c r="G45" i="51"/>
  <c r="G41" i="51"/>
  <c r="G38" i="51"/>
  <c r="R36" i="51"/>
  <c r="G34" i="51"/>
  <c r="G30" i="51"/>
  <c r="M45" i="51" s="1"/>
  <c r="R45" i="51" s="1"/>
  <c r="G29" i="51"/>
  <c r="R26" i="51"/>
  <c r="G23" i="51"/>
  <c r="G20" i="51"/>
  <c r="M37" i="51" s="1"/>
  <c r="R18" i="51"/>
  <c r="G17" i="51"/>
  <c r="M32" i="51" s="1"/>
  <c r="R15" i="51"/>
  <c r="R14" i="51"/>
  <c r="V84" i="43" s="1"/>
  <c r="R13" i="51"/>
  <c r="R12" i="51"/>
  <c r="R11" i="51"/>
  <c r="E65" i="42"/>
  <c r="E68" i="42"/>
  <c r="R37" i="51" l="1"/>
  <c r="V106" i="43"/>
  <c r="V105" i="43" s="1"/>
  <c r="E8" i="2"/>
  <c r="E11" i="2" s="1"/>
  <c r="V83" i="43"/>
  <c r="R32" i="51"/>
  <c r="L66" i="29"/>
  <c r="L70" i="29" s="1"/>
  <c r="L74" i="29" s="1"/>
  <c r="K64" i="29"/>
  <c r="F20" i="52"/>
  <c r="F22" i="52" s="1"/>
  <c r="J66" i="29"/>
  <c r="J70" i="29" s="1"/>
  <c r="K54" i="29"/>
  <c r="J86" i="43"/>
  <c r="I86" i="43"/>
  <c r="N86" i="43" s="1"/>
  <c r="J85" i="43"/>
  <c r="I85" i="43"/>
  <c r="N85" i="43" s="1"/>
  <c r="F42" i="4"/>
  <c r="F21" i="4"/>
  <c r="D40" i="29"/>
  <c r="D19" i="29"/>
  <c r="I78" i="43" s="1"/>
  <c r="J114" i="43"/>
  <c r="J113" i="43"/>
  <c r="I113" i="43"/>
  <c r="N113" i="43" s="1"/>
  <c r="J107" i="43"/>
  <c r="I107" i="43"/>
  <c r="N107" i="43" s="1"/>
  <c r="P107" i="43" s="1"/>
  <c r="J106" i="43"/>
  <c r="I106" i="43"/>
  <c r="N106" i="43" s="1"/>
  <c r="J105" i="43"/>
  <c r="I105" i="43"/>
  <c r="N105" i="43" s="1"/>
  <c r="J104" i="43"/>
  <c r="I104" i="43"/>
  <c r="N104" i="43" s="1"/>
  <c r="P104" i="43" s="1"/>
  <c r="J103" i="43"/>
  <c r="J102" i="43"/>
  <c r="I102" i="43"/>
  <c r="N102" i="43" s="1"/>
  <c r="J101" i="43"/>
  <c r="I101" i="43"/>
  <c r="P101" i="43" s="1"/>
  <c r="J100" i="43"/>
  <c r="I100" i="43"/>
  <c r="J99" i="43"/>
  <c r="I99" i="43"/>
  <c r="N99" i="43" s="1"/>
  <c r="J98" i="43"/>
  <c r="I98" i="43"/>
  <c r="N98" i="43" s="1"/>
  <c r="P98" i="43" s="1"/>
  <c r="J97" i="43"/>
  <c r="I97" i="43"/>
  <c r="N97" i="43" s="1"/>
  <c r="J96" i="43"/>
  <c r="I96" i="43"/>
  <c r="N96" i="43" s="1"/>
  <c r="J90" i="43"/>
  <c r="I90" i="43"/>
  <c r="J89" i="43"/>
  <c r="I89" i="43"/>
  <c r="J88" i="43"/>
  <c r="J83" i="43"/>
  <c r="I83" i="43"/>
  <c r="N83" i="43" s="1"/>
  <c r="J81" i="43"/>
  <c r="I81" i="43"/>
  <c r="N100" i="43" l="1"/>
  <c r="N81" i="43"/>
  <c r="H81" i="43"/>
  <c r="N89" i="43"/>
  <c r="H89" i="43"/>
  <c r="N90" i="43"/>
  <c r="H90" i="43"/>
  <c r="N78" i="43"/>
  <c r="H78" i="43"/>
  <c r="F40" i="29"/>
  <c r="F31" i="42"/>
  <c r="E9" i="2"/>
  <c r="E12" i="2"/>
  <c r="E20" i="2"/>
  <c r="F24" i="52"/>
  <c r="F26" i="52" s="1"/>
  <c r="J74" i="29"/>
  <c r="J78" i="29" s="1"/>
  <c r="J83" i="29" s="1"/>
  <c r="L78" i="29"/>
  <c r="L83" i="29" s="1"/>
  <c r="U78" i="43"/>
  <c r="Q78" i="43" s="1"/>
  <c r="F19" i="29"/>
  <c r="K66" i="29"/>
  <c r="K70" i="29" s="1"/>
  <c r="I115" i="43"/>
  <c r="N115" i="43" s="1"/>
  <c r="J92" i="43"/>
  <c r="J108" i="43"/>
  <c r="I108" i="43"/>
  <c r="N108" i="43" s="1"/>
  <c r="I87" i="43"/>
  <c r="N87" i="43" s="1"/>
  <c r="J115" i="43"/>
  <c r="I92" i="43"/>
  <c r="N92" i="43" s="1"/>
  <c r="J87" i="43"/>
  <c r="E16" i="50"/>
  <c r="D19" i="50"/>
  <c r="E19" i="50"/>
  <c r="E20" i="50"/>
  <c r="E15" i="50"/>
  <c r="E5" i="50"/>
  <c r="E4" i="50"/>
  <c r="E5" i="49"/>
  <c r="E6" i="49" s="1"/>
  <c r="E9" i="48"/>
  <c r="E8" i="48"/>
  <c r="E7" i="48"/>
  <c r="E6" i="48"/>
  <c r="E5" i="48"/>
  <c r="E5" i="47"/>
  <c r="E6" i="47"/>
  <c r="E4" i="47"/>
  <c r="G6" i="46"/>
  <c r="G5" i="46"/>
  <c r="G4" i="46"/>
  <c r="F15" i="45"/>
  <c r="F14" i="45"/>
  <c r="F5" i="45"/>
  <c r="F4" i="45"/>
  <c r="P78" i="43" l="1"/>
  <c r="K74" i="29"/>
  <c r="K78" i="29" s="1"/>
  <c r="K83" i="29" s="1"/>
  <c r="I9" i="55"/>
  <c r="F29" i="52"/>
  <c r="E13" i="2" s="1"/>
  <c r="E14" i="2" s="1"/>
  <c r="E17" i="50"/>
  <c r="E23" i="49"/>
  <c r="E25" i="49" s="1"/>
  <c r="E22" i="50"/>
  <c r="F17" i="45"/>
  <c r="J93" i="43"/>
  <c r="J116" i="43" s="1"/>
  <c r="J117" i="43" s="1"/>
  <c r="I93" i="43"/>
  <c r="E7" i="47"/>
  <c r="G7" i="46"/>
  <c r="F7" i="45"/>
  <c r="E6" i="50"/>
  <c r="E10" i="48"/>
  <c r="F41" i="4"/>
  <c r="F40" i="4"/>
  <c r="F39" i="4"/>
  <c r="F36" i="4"/>
  <c r="F32" i="42" s="1"/>
  <c r="F35" i="4"/>
  <c r="F34" i="4"/>
  <c r="F33" i="4"/>
  <c r="F29" i="4"/>
  <c r="F28" i="4"/>
  <c r="F26" i="29" s="1"/>
  <c r="F8" i="42"/>
  <c r="F20" i="4"/>
  <c r="F19" i="4"/>
  <c r="F17" i="29" s="1"/>
  <c r="F18" i="4"/>
  <c r="F17" i="4"/>
  <c r="F14" i="4"/>
  <c r="F13" i="4"/>
  <c r="F12" i="4"/>
  <c r="F11" i="4"/>
  <c r="F16" i="42" s="1"/>
  <c r="F9" i="4"/>
  <c r="E8" i="29" s="1"/>
  <c r="E8" i="27" s="1"/>
  <c r="F8" i="4"/>
  <c r="F6" i="29" s="1"/>
  <c r="Q55" i="42"/>
  <c r="P55" i="42"/>
  <c r="O55" i="42"/>
  <c r="G45" i="42"/>
  <c r="G41" i="42"/>
  <c r="G38" i="42"/>
  <c r="R36" i="42"/>
  <c r="G34" i="42"/>
  <c r="G30" i="42"/>
  <c r="M45" i="42" s="1"/>
  <c r="R45" i="42" s="1"/>
  <c r="G29" i="42"/>
  <c r="R26" i="42"/>
  <c r="G23" i="42"/>
  <c r="G20" i="42"/>
  <c r="M37" i="42" s="1"/>
  <c r="U106" i="43" s="1"/>
  <c r="R18" i="42"/>
  <c r="G17" i="42"/>
  <c r="M32" i="42" s="1"/>
  <c r="R32" i="42" s="1"/>
  <c r="R15" i="42"/>
  <c r="R14" i="42"/>
  <c r="U84" i="43" s="1"/>
  <c r="R13" i="42"/>
  <c r="R12" i="42"/>
  <c r="R11" i="42"/>
  <c r="U105" i="43" l="1"/>
  <c r="Q105" i="43" s="1"/>
  <c r="P105" i="43" s="1"/>
  <c r="Q106" i="43"/>
  <c r="P106" i="43" s="1"/>
  <c r="F18" i="29"/>
  <c r="F14" i="42"/>
  <c r="I116" i="43"/>
  <c r="N93" i="43"/>
  <c r="U83" i="43"/>
  <c r="Q83" i="43" s="1"/>
  <c r="P83" i="43" s="1"/>
  <c r="J9" i="55"/>
  <c r="E14" i="7"/>
  <c r="F18" i="42"/>
  <c r="F7" i="29"/>
  <c r="F22" i="42"/>
  <c r="F11" i="29"/>
  <c r="F44" i="42"/>
  <c r="F27" i="29"/>
  <c r="F34" i="29"/>
  <c r="F21" i="42"/>
  <c r="F12" i="29"/>
  <c r="F40" i="42"/>
  <c r="F31" i="29"/>
  <c r="F33" i="42"/>
  <c r="F37" i="29"/>
  <c r="F9" i="29"/>
  <c r="F13" i="42"/>
  <c r="F15" i="29"/>
  <c r="F39" i="42"/>
  <c r="F32" i="29"/>
  <c r="F36" i="42"/>
  <c r="F38" i="29"/>
  <c r="F19" i="42"/>
  <c r="F10" i="29"/>
  <c r="F12" i="42"/>
  <c r="F16" i="29"/>
  <c r="F35" i="42"/>
  <c r="F33" i="29"/>
  <c r="F37" i="42"/>
  <c r="F39" i="29"/>
  <c r="E24" i="50"/>
  <c r="F43" i="42"/>
  <c r="C4" i="55"/>
  <c r="F37" i="4"/>
  <c r="F43" i="4"/>
  <c r="F15" i="4"/>
  <c r="F22" i="4"/>
  <c r="J28" i="29"/>
  <c r="J40" i="29"/>
  <c r="J39" i="29"/>
  <c r="J38" i="29"/>
  <c r="J37" i="29"/>
  <c r="J34" i="29"/>
  <c r="J33" i="29"/>
  <c r="J32" i="29"/>
  <c r="J31" i="29"/>
  <c r="J27" i="29"/>
  <c r="J26" i="29"/>
  <c r="J19" i="29"/>
  <c r="J18" i="29"/>
  <c r="J17" i="29"/>
  <c r="J16" i="29"/>
  <c r="J15" i="29"/>
  <c r="J12" i="29"/>
  <c r="J11" i="29"/>
  <c r="J10" i="29"/>
  <c r="J9" i="29"/>
  <c r="J7" i="29"/>
  <c r="J6" i="29"/>
  <c r="D28" i="29"/>
  <c r="D39" i="29"/>
  <c r="D38" i="29"/>
  <c r="D37" i="29"/>
  <c r="D34" i="29"/>
  <c r="D33" i="29"/>
  <c r="D32" i="29"/>
  <c r="D31" i="29"/>
  <c r="D27" i="29"/>
  <c r="F4" i="27" s="1"/>
  <c r="F15" i="27" s="1"/>
  <c r="D26" i="29"/>
  <c r="C4" i="27" s="1"/>
  <c r="E42" i="4"/>
  <c r="E31" i="42" s="1"/>
  <c r="E41" i="4"/>
  <c r="E40" i="4"/>
  <c r="E39" i="4"/>
  <c r="E36" i="4"/>
  <c r="E32" i="42" s="1"/>
  <c r="E35" i="4"/>
  <c r="E34" i="4"/>
  <c r="E33" i="4"/>
  <c r="E29" i="4"/>
  <c r="D19" i="3" s="1"/>
  <c r="E28" i="4"/>
  <c r="D18" i="3" s="1"/>
  <c r="D18" i="29"/>
  <c r="D17" i="29"/>
  <c r="D16" i="29"/>
  <c r="D15" i="29"/>
  <c r="D12" i="29"/>
  <c r="D11" i="29"/>
  <c r="D10" i="29"/>
  <c r="D9" i="29"/>
  <c r="D7" i="29"/>
  <c r="E8" i="4"/>
  <c r="D6" i="29"/>
  <c r="H102" i="43" l="1"/>
  <c r="H85" i="43"/>
  <c r="H99" i="43"/>
  <c r="H100" i="43" s="1"/>
  <c r="H96" i="43"/>
  <c r="H86" i="43"/>
  <c r="H91" i="43"/>
  <c r="H92" i="43" s="1"/>
  <c r="D9" i="3"/>
  <c r="F32" i="51"/>
  <c r="F31" i="51"/>
  <c r="G31" i="42"/>
  <c r="M46" i="42" s="1"/>
  <c r="R46" i="42" s="1"/>
  <c r="U112" i="43" s="1"/>
  <c r="Q112" i="43" s="1"/>
  <c r="P112" i="43" s="1"/>
  <c r="D13" i="3"/>
  <c r="I117" i="43"/>
  <c r="N117" i="43" s="1"/>
  <c r="N116" i="43"/>
  <c r="D20" i="3"/>
  <c r="E17" i="2" s="1"/>
  <c r="G32" i="42"/>
  <c r="M43" i="42" s="1"/>
  <c r="D10" i="3"/>
  <c r="F13" i="29"/>
  <c r="F42" i="42"/>
  <c r="F20" i="29"/>
  <c r="F41" i="29"/>
  <c r="F35" i="29"/>
  <c r="G4" i="27"/>
  <c r="G15" i="27" s="1"/>
  <c r="I4" i="55"/>
  <c r="C11" i="55"/>
  <c r="C19" i="55" s="1"/>
  <c r="F33" i="51"/>
  <c r="F36" i="51"/>
  <c r="F43" i="51"/>
  <c r="F35" i="51"/>
  <c r="F37" i="51"/>
  <c r="F40" i="51"/>
  <c r="F39" i="51"/>
  <c r="F44" i="51"/>
  <c r="E44" i="42"/>
  <c r="G44" i="42" s="1"/>
  <c r="E40" i="42"/>
  <c r="G40" i="42" s="1"/>
  <c r="E33" i="42"/>
  <c r="G33" i="42" s="1"/>
  <c r="M21" i="42" s="1"/>
  <c r="R21" i="42" s="1"/>
  <c r="U90" i="43" s="1"/>
  <c r="Q90" i="43" s="1"/>
  <c r="P90" i="43" s="1"/>
  <c r="E39" i="42"/>
  <c r="G39" i="42" s="1"/>
  <c r="M23" i="42" s="1"/>
  <c r="R23" i="42" s="1"/>
  <c r="E36" i="42"/>
  <c r="G36" i="42" s="1"/>
  <c r="E43" i="42"/>
  <c r="G43" i="42" s="1"/>
  <c r="E35" i="42"/>
  <c r="G35" i="42" s="1"/>
  <c r="E37" i="42"/>
  <c r="G37" i="42" s="1"/>
  <c r="D41" i="29"/>
  <c r="D20" i="29"/>
  <c r="D35" i="29"/>
  <c r="F24" i="4"/>
  <c r="D29" i="29"/>
  <c r="J20" i="29"/>
  <c r="D13" i="29"/>
  <c r="J13" i="29"/>
  <c r="J41" i="29"/>
  <c r="J29" i="29"/>
  <c r="J35" i="29"/>
  <c r="H87" i="43" l="1"/>
  <c r="H93" i="43" s="1"/>
  <c r="H108" i="43"/>
  <c r="H97" i="43"/>
  <c r="U86" i="43"/>
  <c r="Q86" i="43" s="1"/>
  <c r="P86" i="43" s="1"/>
  <c r="Q84" i="43"/>
  <c r="P84" i="43" s="1"/>
  <c r="N43" i="42"/>
  <c r="E23" i="2"/>
  <c r="I11" i="55"/>
  <c r="G19" i="27" s="1"/>
  <c r="H19" i="27" s="1"/>
  <c r="C14" i="7"/>
  <c r="G17" i="27"/>
  <c r="H4" i="27"/>
  <c r="F22" i="29"/>
  <c r="J4" i="55"/>
  <c r="J11" i="55" s="1"/>
  <c r="J22" i="29"/>
  <c r="F42" i="51"/>
  <c r="D43" i="29"/>
  <c r="E42" i="42"/>
  <c r="D22" i="29"/>
  <c r="M24" i="42"/>
  <c r="R24" i="42" s="1"/>
  <c r="U85" i="43" s="1"/>
  <c r="Q85" i="43" s="1"/>
  <c r="P85" i="43" s="1"/>
  <c r="G42" i="42"/>
  <c r="G23" i="27" l="1"/>
  <c r="F17" i="27"/>
  <c r="F23" i="27" s="1"/>
  <c r="H116" i="43"/>
  <c r="H117" i="43" s="1"/>
  <c r="N44" i="42"/>
  <c r="R44" i="42" s="1"/>
  <c r="U114" i="43" s="1"/>
  <c r="Q114" i="43" s="1"/>
  <c r="P114" i="43" s="1"/>
  <c r="R43" i="42"/>
  <c r="U113" i="43" s="1"/>
  <c r="I13" i="55"/>
  <c r="F13" i="55" s="1"/>
  <c r="F25" i="27" s="1"/>
  <c r="G20" i="27" s="1"/>
  <c r="H20" i="27" s="1"/>
  <c r="D14" i="7"/>
  <c r="D10" i="7" s="1"/>
  <c r="H10" i="7" s="1"/>
  <c r="D45" i="29"/>
  <c r="L6" i="29"/>
  <c r="K6" i="29" s="1"/>
  <c r="H17" i="27" l="1"/>
  <c r="N55" i="42"/>
  <c r="Q113" i="43"/>
  <c r="P113" i="43" s="1"/>
  <c r="U115" i="43"/>
  <c r="Q115" i="43" s="1"/>
  <c r="P115" i="43" s="1"/>
  <c r="F19" i="55"/>
  <c r="F31" i="27"/>
  <c r="J13" i="55"/>
  <c r="H14" i="7"/>
  <c r="G25" i="27"/>
  <c r="D25" i="27" s="1"/>
  <c r="G21" i="27" s="1"/>
  <c r="H21" i="27" s="1"/>
  <c r="E16" i="1"/>
  <c r="E15" i="1"/>
  <c r="E14" i="1"/>
  <c r="E11" i="1"/>
  <c r="E10" i="1"/>
  <c r="E9" i="1"/>
  <c r="E24" i="1" s="1"/>
  <c r="E8" i="1"/>
  <c r="E30" i="1" s="1"/>
  <c r="E6" i="1"/>
  <c r="E31" i="1" s="1"/>
  <c r="E5" i="1"/>
  <c r="E4" i="1"/>
  <c r="D16" i="1"/>
  <c r="D15" i="1"/>
  <c r="D11" i="1"/>
  <c r="D10" i="1"/>
  <c r="D6" i="33"/>
  <c r="D7" i="33"/>
  <c r="E23" i="1" l="1"/>
  <c r="E25" i="1" s="1"/>
  <c r="E33" i="1"/>
  <c r="D33" i="1"/>
  <c r="I14" i="1"/>
  <c r="E26" i="1"/>
  <c r="E27" i="1" s="1"/>
  <c r="E29" i="1" s="1"/>
  <c r="H25" i="27"/>
  <c r="D31" i="27"/>
  <c r="D7" i="40"/>
  <c r="D6" i="40"/>
  <c r="D5" i="40"/>
  <c r="D8" i="39"/>
  <c r="D7" i="39"/>
  <c r="D6" i="39"/>
  <c r="C6" i="39"/>
  <c r="D5" i="39"/>
  <c r="D5" i="38"/>
  <c r="D6" i="38" s="1"/>
  <c r="D7" i="37"/>
  <c r="C7" i="37"/>
  <c r="D6" i="37"/>
  <c r="D5" i="37"/>
  <c r="D7" i="18"/>
  <c r="D6" i="18"/>
  <c r="D5" i="18"/>
  <c r="C7" i="18"/>
  <c r="L33" i="29"/>
  <c r="K33" i="29" s="1"/>
  <c r="E33" i="29"/>
  <c r="E34" i="1" l="1"/>
  <c r="E18" i="2"/>
  <c r="E6" i="39"/>
  <c r="D9" i="40"/>
  <c r="D9" i="39"/>
  <c r="E7" i="37"/>
  <c r="E7" i="18"/>
  <c r="D8" i="37"/>
  <c r="D7" i="36"/>
  <c r="D8" i="36" s="1"/>
  <c r="D15" i="34"/>
  <c r="C15" i="34"/>
  <c r="D14" i="34"/>
  <c r="D6" i="34"/>
  <c r="D5" i="34"/>
  <c r="D13" i="34"/>
  <c r="D12" i="34"/>
  <c r="D5" i="14"/>
  <c r="D4" i="14"/>
  <c r="D9" i="33"/>
  <c r="D8" i="33"/>
  <c r="D5" i="33"/>
  <c r="D7" i="32"/>
  <c r="D6" i="32"/>
  <c r="D5" i="32"/>
  <c r="D4" i="12"/>
  <c r="E19" i="4"/>
  <c r="E17" i="29"/>
  <c r="D7" i="13"/>
  <c r="D6" i="13"/>
  <c r="D5" i="13"/>
  <c r="C6" i="13"/>
  <c r="D6" i="11"/>
  <c r="D5" i="11"/>
  <c r="D4" i="11"/>
  <c r="C5" i="11"/>
  <c r="D4" i="31"/>
  <c r="D5" i="31" s="1"/>
  <c r="D4" i="8"/>
  <c r="D5" i="8"/>
  <c r="D6" i="8"/>
  <c r="E25" i="2" l="1"/>
  <c r="E24" i="2"/>
  <c r="L17" i="29"/>
  <c r="K17" i="29" s="1"/>
  <c r="E15" i="34"/>
  <c r="D10" i="33"/>
  <c r="D8" i="32"/>
  <c r="E12" i="4" l="1"/>
  <c r="D7" i="3" s="1"/>
  <c r="E10" i="29"/>
  <c r="E6" i="29"/>
  <c r="F19" i="51" l="1"/>
  <c r="L10" i="29"/>
  <c r="K10" i="29" s="1"/>
  <c r="E19" i="42"/>
  <c r="G19" i="42" s="1"/>
  <c r="M35" i="42" s="1"/>
  <c r="F14" i="28"/>
  <c r="F18" i="28" s="1"/>
  <c r="C13" i="27"/>
  <c r="C15" i="27" s="1"/>
  <c r="C23" i="27" s="1"/>
  <c r="L38" i="9"/>
  <c r="J38" i="9"/>
  <c r="I38" i="9"/>
  <c r="M34" i="9"/>
  <c r="M29" i="9"/>
  <c r="M26" i="9"/>
  <c r="L27" i="9"/>
  <c r="L35" i="9" s="1"/>
  <c r="K27" i="9"/>
  <c r="J27" i="9"/>
  <c r="J35" i="9" s="1"/>
  <c r="I27" i="9"/>
  <c r="I35" i="9" s="1"/>
  <c r="M23" i="9"/>
  <c r="M22" i="9"/>
  <c r="M21" i="9"/>
  <c r="M20" i="9"/>
  <c r="M17" i="9"/>
  <c r="M16" i="9"/>
  <c r="M15" i="9"/>
  <c r="L18" i="9"/>
  <c r="L24" i="9" s="1"/>
  <c r="K18" i="9"/>
  <c r="K24" i="9" s="1"/>
  <c r="J18" i="9"/>
  <c r="J24" i="9" s="1"/>
  <c r="I18" i="9"/>
  <c r="I24" i="9" s="1"/>
  <c r="H18" i="9"/>
  <c r="I22" i="19"/>
  <c r="I25" i="19" s="1"/>
  <c r="H22" i="19"/>
  <c r="H25" i="19" s="1"/>
  <c r="G22" i="19"/>
  <c r="G25" i="19" s="1"/>
  <c r="F22" i="19"/>
  <c r="F25" i="19" s="1"/>
  <c r="E22" i="19"/>
  <c r="J8" i="19"/>
  <c r="J11" i="19" s="1"/>
  <c r="I8" i="19"/>
  <c r="I11" i="19" s="1"/>
  <c r="H8" i="19"/>
  <c r="E8" i="19"/>
  <c r="D8" i="18"/>
  <c r="D6" i="14"/>
  <c r="E6" i="13"/>
  <c r="D8" i="13"/>
  <c r="D5" i="12"/>
  <c r="E5" i="11"/>
  <c r="D7" i="11"/>
  <c r="F8" i="9"/>
  <c r="F7" i="9"/>
  <c r="F6" i="9"/>
  <c r="F5" i="9"/>
  <c r="F4" i="9"/>
  <c r="E9" i="9"/>
  <c r="D9" i="9"/>
  <c r="D7" i="8"/>
  <c r="C32" i="7"/>
  <c r="C28" i="7"/>
  <c r="C27" i="7"/>
  <c r="H27" i="7" s="1"/>
  <c r="C24" i="7"/>
  <c r="H24" i="7" s="1"/>
  <c r="C22" i="7"/>
  <c r="H22" i="7" s="1"/>
  <c r="E17" i="7"/>
  <c r="D17" i="7"/>
  <c r="C17" i="7"/>
  <c r="J22" i="19" l="1"/>
  <c r="C31" i="27"/>
  <c r="E11" i="19"/>
  <c r="K8" i="19"/>
  <c r="H24" i="9"/>
  <c r="H36" i="9"/>
  <c r="D32" i="7"/>
  <c r="D28" i="7" s="1"/>
  <c r="D35" i="7" s="1"/>
  <c r="H17" i="7"/>
  <c r="C35" i="7"/>
  <c r="R35" i="42"/>
  <c r="M18" i="9"/>
  <c r="M24" i="9" s="1"/>
  <c r="E25" i="19"/>
  <c r="J25" i="19" s="1"/>
  <c r="H11" i="19"/>
  <c r="F9" i="9"/>
  <c r="K11" i="19" l="1"/>
  <c r="M36" i="9"/>
  <c r="H38" i="9"/>
  <c r="M25" i="9"/>
  <c r="M27" i="9" s="1"/>
  <c r="H27" i="9"/>
  <c r="H35" i="9" s="1"/>
  <c r="H28" i="7"/>
  <c r="U103" i="43"/>
  <c r="Q103" i="43" s="1"/>
  <c r="P103" i="43" s="1"/>
  <c r="E17" i="1"/>
  <c r="E12" i="1"/>
  <c r="E7" i="1"/>
  <c r="U102" i="43" l="1"/>
  <c r="Q102" i="43" s="1"/>
  <c r="P102" i="43" s="1"/>
  <c r="E13" i="1"/>
  <c r="E18" i="1" s="1"/>
  <c r="D21" i="3" s="1"/>
  <c r="D22" i="3" l="1"/>
  <c r="E16" i="29"/>
  <c r="L26" i="29"/>
  <c r="K26" i="29" s="1"/>
  <c r="E12" i="29"/>
  <c r="L32" i="29"/>
  <c r="L40" i="29"/>
  <c r="K40" i="29" s="1"/>
  <c r="E18" i="4"/>
  <c r="D14" i="3" s="1"/>
  <c r="L39" i="29"/>
  <c r="K39" i="29" s="1"/>
  <c r="E18" i="29"/>
  <c r="L27" i="29"/>
  <c r="K27" i="29" s="1"/>
  <c r="E14" i="4"/>
  <c r="E40" i="29"/>
  <c r="E9" i="29"/>
  <c r="E20" i="4"/>
  <c r="E21" i="4"/>
  <c r="E34" i="29"/>
  <c r="E11" i="4"/>
  <c r="E11" i="29"/>
  <c r="E12" i="27" s="1"/>
  <c r="E27" i="29"/>
  <c r="E39" i="29"/>
  <c r="E19" i="29"/>
  <c r="E13" i="4"/>
  <c r="E32" i="29"/>
  <c r="E9" i="27" s="1"/>
  <c r="E9" i="4"/>
  <c r="E26" i="29"/>
  <c r="L34" i="29"/>
  <c r="K34" i="29" s="1"/>
  <c r="E38" i="29"/>
  <c r="L38" i="29"/>
  <c r="K38" i="29" s="1"/>
  <c r="E15" i="29"/>
  <c r="E17" i="4"/>
  <c r="D12" i="3" s="1"/>
  <c r="L37" i="29"/>
  <c r="K37" i="29" s="1"/>
  <c r="E37" i="29"/>
  <c r="L31" i="29"/>
  <c r="E11" i="27" l="1"/>
  <c r="K31" i="29"/>
  <c r="K32" i="29"/>
  <c r="E14" i="42"/>
  <c r="G14" i="42" s="1"/>
  <c r="M25" i="42" s="1"/>
  <c r="F14" i="51"/>
  <c r="E16" i="42"/>
  <c r="G16" i="42" s="1"/>
  <c r="M31" i="42" s="1"/>
  <c r="F16" i="51"/>
  <c r="D6" i="3"/>
  <c r="D5" i="3"/>
  <c r="K8" i="29"/>
  <c r="D8" i="3"/>
  <c r="D15" i="3"/>
  <c r="F12" i="51"/>
  <c r="F8" i="51"/>
  <c r="F10" i="51" s="1"/>
  <c r="M51" i="51" s="1"/>
  <c r="R51" i="51" s="1"/>
  <c r="V78" i="43"/>
  <c r="F22" i="51"/>
  <c r="F21" i="51"/>
  <c r="F18" i="51"/>
  <c r="F13" i="51"/>
  <c r="E8" i="42"/>
  <c r="G8" i="42" s="1"/>
  <c r="E12" i="42"/>
  <c r="G12" i="42" s="1"/>
  <c r="M19" i="42" s="1"/>
  <c r="L9" i="29"/>
  <c r="K9" i="29" s="1"/>
  <c r="L18" i="29"/>
  <c r="K18" i="29" s="1"/>
  <c r="L12" i="29"/>
  <c r="K12" i="29" s="1"/>
  <c r="E21" i="42"/>
  <c r="G21" i="42" s="1"/>
  <c r="L11" i="29"/>
  <c r="K11" i="29" s="1"/>
  <c r="E22" i="42"/>
  <c r="G22" i="42" s="1"/>
  <c r="L7" i="29"/>
  <c r="K7" i="29" s="1"/>
  <c r="E18" i="42"/>
  <c r="G18" i="42" s="1"/>
  <c r="M33" i="42" s="1"/>
  <c r="L15" i="29"/>
  <c r="K15" i="29" s="1"/>
  <c r="E13" i="42"/>
  <c r="G13" i="42" s="1"/>
  <c r="M20" i="42" s="1"/>
  <c r="R20" i="42" s="1"/>
  <c r="U88" i="43" s="1"/>
  <c r="Q88" i="43" s="1"/>
  <c r="P88" i="43" s="1"/>
  <c r="L16" i="29"/>
  <c r="K16" i="29" s="1"/>
  <c r="L19" i="29"/>
  <c r="K19" i="29" s="1"/>
  <c r="F10" i="42"/>
  <c r="E13" i="29"/>
  <c r="E7" i="29"/>
  <c r="E7" i="27" s="1"/>
  <c r="E35" i="29"/>
  <c r="E31" i="29"/>
  <c r="E10" i="27" s="1"/>
  <c r="H10" i="27" s="1"/>
  <c r="E41" i="29"/>
  <c r="L41" i="29"/>
  <c r="K41" i="29" s="1"/>
  <c r="L35" i="29"/>
  <c r="E22" i="4"/>
  <c r="E43" i="4"/>
  <c r="E15" i="4"/>
  <c r="E37" i="4"/>
  <c r="R25" i="42" l="1"/>
  <c r="M22" i="42"/>
  <c r="R22" i="42" s="1"/>
  <c r="E16" i="2"/>
  <c r="E21" i="2" s="1"/>
  <c r="D11" i="3"/>
  <c r="D16" i="3"/>
  <c r="R33" i="42"/>
  <c r="U100" i="43" s="1"/>
  <c r="Q100" i="43" s="1"/>
  <c r="R31" i="42"/>
  <c r="U97" i="43" s="1"/>
  <c r="Q97" i="43" s="1"/>
  <c r="F46" i="51"/>
  <c r="E10" i="42"/>
  <c r="E24" i="42" s="1"/>
  <c r="E25" i="42" s="1"/>
  <c r="F24" i="51"/>
  <c r="F25" i="51" s="1"/>
  <c r="L28" i="29"/>
  <c r="E46" i="42"/>
  <c r="L13" i="29"/>
  <c r="R34" i="42"/>
  <c r="R19" i="42"/>
  <c r="U89" i="43" s="1"/>
  <c r="Q89" i="43" s="1"/>
  <c r="P89" i="43" s="1"/>
  <c r="L20" i="29"/>
  <c r="M51" i="42"/>
  <c r="F24" i="42"/>
  <c r="F25" i="42" s="1"/>
  <c r="E22" i="29"/>
  <c r="E20" i="29"/>
  <c r="D7" i="35"/>
  <c r="D16" i="34"/>
  <c r="E31" i="4"/>
  <c r="I17" i="7" s="1"/>
  <c r="D8" i="34"/>
  <c r="E24" i="4"/>
  <c r="U91" i="43" l="1"/>
  <c r="Q91" i="43" s="1"/>
  <c r="P91" i="43" s="1"/>
  <c r="U96" i="43"/>
  <c r="Q96" i="43" s="1"/>
  <c r="E22" i="2"/>
  <c r="D17" i="3"/>
  <c r="L29" i="29"/>
  <c r="K29" i="29" s="1"/>
  <c r="K28" i="29"/>
  <c r="M39" i="42"/>
  <c r="E45" i="4"/>
  <c r="E47" i="4" s="1"/>
  <c r="F47" i="51"/>
  <c r="F48" i="51" s="1"/>
  <c r="F49" i="51" s="1"/>
  <c r="F50" i="51" s="1"/>
  <c r="G10" i="42"/>
  <c r="G24" i="42" s="1"/>
  <c r="R39" i="42"/>
  <c r="U99" i="43"/>
  <c r="Q99" i="43" s="1"/>
  <c r="M10" i="42"/>
  <c r="R10" i="42" s="1"/>
  <c r="U81" i="43" s="1"/>
  <c r="Q81" i="43" s="1"/>
  <c r="P81" i="43" s="1"/>
  <c r="E47" i="42"/>
  <c r="E48" i="42" s="1"/>
  <c r="E49" i="42" s="1"/>
  <c r="E50" i="42" s="1"/>
  <c r="L22" i="29"/>
  <c r="K22" i="29" s="1"/>
  <c r="R51" i="42"/>
  <c r="K35" i="29"/>
  <c r="J43" i="29"/>
  <c r="K20" i="29"/>
  <c r="K13" i="29"/>
  <c r="U92" i="43" l="1"/>
  <c r="Q92" i="43" s="1"/>
  <c r="P92" i="43" s="1"/>
  <c r="U108" i="43"/>
  <c r="Q108" i="43" s="1"/>
  <c r="L43" i="29"/>
  <c r="K43" i="29" s="1"/>
  <c r="R28" i="42"/>
  <c r="M28" i="42"/>
  <c r="U87" i="43" l="1"/>
  <c r="Q87" i="43" s="1"/>
  <c r="P87" i="43" s="1"/>
  <c r="U93" i="43" l="1"/>
  <c r="Q93" i="43" s="1"/>
  <c r="P93" i="43" s="1"/>
  <c r="F33" i="52"/>
  <c r="U116" i="43" l="1"/>
  <c r="Q116" i="43" s="1"/>
  <c r="P116" i="43" s="1"/>
  <c r="E28" i="52"/>
  <c r="I17" i="55" s="1"/>
  <c r="F32" i="7" s="1"/>
  <c r="F35" i="7" s="1"/>
  <c r="U117" i="43" l="1"/>
  <c r="Q117" i="43" s="1"/>
  <c r="P117" i="43" s="1"/>
  <c r="J17" i="55"/>
  <c r="G29" i="27"/>
  <c r="H29" i="27" s="1"/>
  <c r="C6" i="11" l="1"/>
  <c r="E6" i="11" s="1"/>
  <c r="D4" i="50"/>
  <c r="D16" i="49"/>
  <c r="F16" i="49" s="1"/>
  <c r="D12" i="4"/>
  <c r="C4" i="12"/>
  <c r="D15" i="50"/>
  <c r="D33" i="4"/>
  <c r="C12" i="34"/>
  <c r="E12" i="34" s="1"/>
  <c r="C7" i="13"/>
  <c r="E7" i="13" s="1"/>
  <c r="D17" i="4"/>
  <c r="C12" i="3" s="1"/>
  <c r="C4" i="11"/>
  <c r="E12" i="3" l="1"/>
  <c r="E19" i="51"/>
  <c r="G19" i="51" s="1"/>
  <c r="M35" i="51" s="1"/>
  <c r="R35" i="51" s="1"/>
  <c r="V103" i="43" s="1"/>
  <c r="V102" i="43" s="1"/>
  <c r="C7" i="3"/>
  <c r="E7" i="3" s="1"/>
  <c r="F7" i="3" s="1"/>
  <c r="D16" i="50"/>
  <c r="F16" i="50" s="1"/>
  <c r="C9" i="33"/>
  <c r="E9" i="33" s="1"/>
  <c r="E40" i="51"/>
  <c r="G40" i="51" s="1"/>
  <c r="M24" i="51" s="1"/>
  <c r="R24" i="51" s="1"/>
  <c r="V85" i="43" s="1"/>
  <c r="D28" i="4"/>
  <c r="C18" i="3" s="1"/>
  <c r="C5" i="34"/>
  <c r="E5" i="34" s="1"/>
  <c r="C7" i="11"/>
  <c r="E7" i="11" s="1"/>
  <c r="E4" i="11"/>
  <c r="F4" i="50"/>
  <c r="C5" i="12"/>
  <c r="E5" i="12" s="1"/>
  <c r="E4" i="12"/>
  <c r="E13" i="51"/>
  <c r="G13" i="51" s="1"/>
  <c r="M20" i="51" s="1"/>
  <c r="R20" i="51" s="1"/>
  <c r="V88" i="43" s="1"/>
  <c r="E5" i="35"/>
  <c r="E7" i="35" s="1"/>
  <c r="C7" i="35"/>
  <c r="F15" i="50"/>
  <c r="E18" i="3" l="1"/>
  <c r="F12" i="3"/>
  <c r="D17" i="50"/>
  <c r="F17" i="50"/>
  <c r="E43" i="51"/>
  <c r="F18" i="3" l="1"/>
  <c r="G43" i="51"/>
  <c r="D5" i="50" l="1"/>
  <c r="D20" i="50"/>
  <c r="D7" i="48" l="1"/>
  <c r="F7" i="48" s="1"/>
  <c r="C14" i="34"/>
  <c r="E14" i="34" s="1"/>
  <c r="F5" i="50"/>
  <c r="F6" i="50" s="1"/>
  <c r="D6" i="50"/>
  <c r="F20" i="50"/>
  <c r="D21" i="50" l="1"/>
  <c r="E25" i="52"/>
  <c r="C5" i="8" l="1"/>
  <c r="E5" i="8" s="1"/>
  <c r="F21" i="50"/>
  <c r="F22" i="50" s="1"/>
  <c r="F24" i="50" s="1"/>
  <c r="D22" i="50"/>
  <c r="D24" i="50" s="1"/>
  <c r="D5" i="1" l="1"/>
  <c r="E16" i="44"/>
  <c r="G16" i="44" s="1"/>
  <c r="D35" i="4"/>
  <c r="E35" i="51" s="1"/>
  <c r="G35" i="51" s="1"/>
  <c r="D8" i="4"/>
  <c r="D19" i="4"/>
  <c r="D36" i="4"/>
  <c r="E32" i="51" s="1"/>
  <c r="C6" i="8"/>
  <c r="E6" i="8" s="1"/>
  <c r="D40" i="4"/>
  <c r="E36" i="51" s="1"/>
  <c r="G36" i="51" s="1"/>
  <c r="E15" i="44"/>
  <c r="G15" i="44" s="1"/>
  <c r="C6" i="40"/>
  <c r="E6" i="40" s="1"/>
  <c r="C6" i="37"/>
  <c r="E6" i="37" s="1"/>
  <c r="D13" i="4"/>
  <c r="D6" i="47"/>
  <c r="F6" i="47" s="1"/>
  <c r="D5" i="48"/>
  <c r="F5" i="48" s="1"/>
  <c r="E8" i="52"/>
  <c r="D4" i="47"/>
  <c r="F4" i="47" s="1"/>
  <c r="D14" i="1"/>
  <c r="C5" i="18"/>
  <c r="D14" i="4"/>
  <c r="E21" i="51" s="1"/>
  <c r="G21" i="51" s="1"/>
  <c r="C4" i="31"/>
  <c r="D5" i="49"/>
  <c r="F5" i="49" s="1"/>
  <c r="E14" i="44"/>
  <c r="D8" i="1"/>
  <c r="D30" i="1" s="1"/>
  <c r="C5" i="33"/>
  <c r="C7" i="32"/>
  <c r="E7" i="32" s="1"/>
  <c r="D41" i="4"/>
  <c r="E37" i="51" s="1"/>
  <c r="G37" i="51" s="1"/>
  <c r="C5" i="40"/>
  <c r="C5" i="39"/>
  <c r="E5" i="44"/>
  <c r="G5" i="44" s="1"/>
  <c r="D9" i="4"/>
  <c r="E4" i="44"/>
  <c r="E7" i="52"/>
  <c r="E23" i="52"/>
  <c r="D4" i="49"/>
  <c r="D15" i="49"/>
  <c r="C5" i="32"/>
  <c r="E14" i="52"/>
  <c r="D7" i="2" s="1"/>
  <c r="F4" i="46"/>
  <c r="F5" i="46"/>
  <c r="H5" i="46" s="1"/>
  <c r="D8" i="48"/>
  <c r="F8" i="48" s="1"/>
  <c r="E5" i="45"/>
  <c r="G5" i="45" s="1"/>
  <c r="D11" i="4"/>
  <c r="C4" i="8"/>
  <c r="D9" i="1"/>
  <c r="D24" i="1" s="1"/>
  <c r="C5" i="37"/>
  <c r="D4" i="1"/>
  <c r="C5" i="14"/>
  <c r="E5" i="14" s="1"/>
  <c r="E21" i="52"/>
  <c r="D10" i="2" s="1"/>
  <c r="D5" i="47"/>
  <c r="F5" i="47" s="1"/>
  <c r="C8" i="33"/>
  <c r="E8" i="33" s="1"/>
  <c r="C8" i="39"/>
  <c r="E8" i="39" s="1"/>
  <c r="D6" i="48"/>
  <c r="F6" i="48" s="1"/>
  <c r="C6" i="33"/>
  <c r="E6" i="33" s="1"/>
  <c r="F6" i="46"/>
  <c r="H6" i="46" s="1"/>
  <c r="D20" i="4"/>
  <c r="E14" i="51" s="1"/>
  <c r="E15" i="45"/>
  <c r="G15" i="45" s="1"/>
  <c r="C7" i="40"/>
  <c r="E7" i="40" s="1"/>
  <c r="E12" i="52"/>
  <c r="E4" i="45"/>
  <c r="E13" i="52"/>
  <c r="E14" i="45"/>
  <c r="D39" i="4"/>
  <c r="C5" i="38"/>
  <c r="D34" i="4"/>
  <c r="C9" i="3" s="1"/>
  <c r="E9" i="3" s="1"/>
  <c r="F9" i="3" s="1"/>
  <c r="C7" i="36"/>
  <c r="D18" i="4"/>
  <c r="C14" i="3" s="1"/>
  <c r="E14" i="3" s="1"/>
  <c r="F14" i="3" s="1"/>
  <c r="C5" i="13"/>
  <c r="D9" i="48"/>
  <c r="F9" i="48" s="1"/>
  <c r="C10" i="3" l="1"/>
  <c r="C6" i="3"/>
  <c r="E6" i="3" s="1"/>
  <c r="F6" i="3" s="1"/>
  <c r="E16" i="51"/>
  <c r="G16" i="51" s="1"/>
  <c r="M31" i="51" s="1"/>
  <c r="R31" i="51" s="1"/>
  <c r="D23" i="1"/>
  <c r="D25" i="1" s="1"/>
  <c r="E22" i="51"/>
  <c r="G22" i="51" s="1"/>
  <c r="M22" i="51" s="1"/>
  <c r="C8" i="3"/>
  <c r="E8" i="3" s="1"/>
  <c r="F8" i="3" s="1"/>
  <c r="C5" i="3"/>
  <c r="G32" i="51"/>
  <c r="M43" i="51" s="1"/>
  <c r="E10" i="3"/>
  <c r="F10" i="3" s="1"/>
  <c r="D17" i="1"/>
  <c r="D26" i="1"/>
  <c r="D27" i="1" s="1"/>
  <c r="C7" i="33"/>
  <c r="E7" i="33" s="1"/>
  <c r="E9" i="52"/>
  <c r="E10" i="52" s="1"/>
  <c r="D5" i="2" s="1"/>
  <c r="E17" i="52"/>
  <c r="E18" i="52" s="1"/>
  <c r="D21" i="4"/>
  <c r="E8" i="51" s="1"/>
  <c r="G8" i="51" s="1"/>
  <c r="D42" i="4"/>
  <c r="E31" i="51" s="1"/>
  <c r="E17" i="44"/>
  <c r="G17" i="44" s="1"/>
  <c r="D4" i="48"/>
  <c r="F4" i="48" s="1"/>
  <c r="F10" i="48" s="1"/>
  <c r="C7" i="39"/>
  <c r="E7" i="39" s="1"/>
  <c r="C6" i="18"/>
  <c r="E6" i="18" s="1"/>
  <c r="C6" i="32"/>
  <c r="E6" i="32" s="1"/>
  <c r="G14" i="51"/>
  <c r="M25" i="51" s="1"/>
  <c r="R25" i="51" s="1"/>
  <c r="E7" i="36"/>
  <c r="E8" i="36" s="1"/>
  <c r="C8" i="36"/>
  <c r="G14" i="45"/>
  <c r="G17" i="45" s="1"/>
  <c r="E17" i="45"/>
  <c r="E5" i="13"/>
  <c r="E8" i="13" s="1"/>
  <c r="C8" i="13"/>
  <c r="D6" i="1"/>
  <c r="D17" i="49"/>
  <c r="F15" i="49"/>
  <c r="F17" i="49" s="1"/>
  <c r="E7" i="44"/>
  <c r="G4" i="44"/>
  <c r="G7" i="44" s="1"/>
  <c r="D7" i="47"/>
  <c r="E5" i="33"/>
  <c r="G14" i="44"/>
  <c r="E12" i="51"/>
  <c r="G12" i="51" s="1"/>
  <c r="M19" i="51" s="1"/>
  <c r="R19" i="51" s="1"/>
  <c r="V89" i="43" s="1"/>
  <c r="C6" i="38"/>
  <c r="E5" i="38"/>
  <c r="E6" i="38" s="1"/>
  <c r="C4" i="14"/>
  <c r="G4" i="45"/>
  <c r="G7" i="45" s="1"/>
  <c r="E7" i="45"/>
  <c r="E4" i="8"/>
  <c r="E7" i="8" s="1"/>
  <c r="C7" i="8"/>
  <c r="F4" i="49"/>
  <c r="D6" i="49"/>
  <c r="F6" i="49" s="1"/>
  <c r="E18" i="51"/>
  <c r="G18" i="51" s="1"/>
  <c r="M33" i="51" s="1"/>
  <c r="D15" i="4"/>
  <c r="E5" i="39"/>
  <c r="C9" i="40"/>
  <c r="E5" i="40"/>
  <c r="E9" i="40" s="1"/>
  <c r="D12" i="1"/>
  <c r="E5" i="18"/>
  <c r="E33" i="51"/>
  <c r="G33" i="51" s="1"/>
  <c r="M21" i="51" s="1"/>
  <c r="R21" i="51" s="1"/>
  <c r="V90" i="43" s="1"/>
  <c r="E5" i="37"/>
  <c r="E8" i="37" s="1"/>
  <c r="C8" i="37"/>
  <c r="F7" i="46"/>
  <c r="H4" i="46"/>
  <c r="H7" i="46" s="1"/>
  <c r="E5" i="32"/>
  <c r="D23" i="49"/>
  <c r="F23" i="49"/>
  <c r="E39" i="51"/>
  <c r="G39" i="51" s="1"/>
  <c r="M23" i="51" s="1"/>
  <c r="R23" i="51" s="1"/>
  <c r="D37" i="4"/>
  <c r="F7" i="47"/>
  <c r="C5" i="31"/>
  <c r="E4" i="31"/>
  <c r="E5" i="31" s="1"/>
  <c r="V86" i="43" l="1"/>
  <c r="R22" i="51"/>
  <c r="V91" i="43" s="1"/>
  <c r="C13" i="3"/>
  <c r="N43" i="51"/>
  <c r="R43" i="51" s="1"/>
  <c r="V113" i="43" s="1"/>
  <c r="F25" i="49"/>
  <c r="D25" i="49"/>
  <c r="D29" i="1"/>
  <c r="D18" i="2" s="1"/>
  <c r="C15" i="3"/>
  <c r="D6" i="2"/>
  <c r="D8" i="2" s="1"/>
  <c r="D7" i="1"/>
  <c r="D13" i="1" s="1"/>
  <c r="D18" i="1" s="1"/>
  <c r="C21" i="3" s="1"/>
  <c r="D31" i="1"/>
  <c r="G31" i="51"/>
  <c r="M46" i="51" s="1"/>
  <c r="R46" i="51" s="1"/>
  <c r="V112" i="43" s="1"/>
  <c r="C11" i="3"/>
  <c r="E5" i="3"/>
  <c r="R34" i="51"/>
  <c r="R33" i="51"/>
  <c r="C10" i="33"/>
  <c r="E9" i="39"/>
  <c r="D22" i="4"/>
  <c r="D24" i="4" s="1"/>
  <c r="E10" i="33"/>
  <c r="E20" i="52"/>
  <c r="E22" i="52" s="1"/>
  <c r="E24" i="52" s="1"/>
  <c r="E26" i="52" s="1"/>
  <c r="I16" i="55" s="1"/>
  <c r="D43" i="4"/>
  <c r="E10" i="51"/>
  <c r="E24" i="51" s="1"/>
  <c r="E25" i="51" s="1"/>
  <c r="E8" i="18"/>
  <c r="C8" i="18"/>
  <c r="D10" i="48"/>
  <c r="E8" i="32"/>
  <c r="E19" i="44"/>
  <c r="C9" i="39"/>
  <c r="G19" i="44"/>
  <c r="C8" i="32"/>
  <c r="V97" i="43"/>
  <c r="V96" i="43" s="1"/>
  <c r="E4" i="14"/>
  <c r="E6" i="14" s="1"/>
  <c r="C6" i="14"/>
  <c r="V92" i="43" l="1"/>
  <c r="D16" i="2"/>
  <c r="D21" i="2" s="1"/>
  <c r="N44" i="51"/>
  <c r="R44" i="51" s="1"/>
  <c r="V114" i="43" s="1"/>
  <c r="V115" i="43" s="1"/>
  <c r="E15" i="3"/>
  <c r="F15" i="3" s="1"/>
  <c r="D34" i="1"/>
  <c r="D25" i="2"/>
  <c r="E42" i="51"/>
  <c r="G42" i="51"/>
  <c r="E11" i="3"/>
  <c r="F5" i="3"/>
  <c r="E21" i="3"/>
  <c r="F21" i="3" s="1"/>
  <c r="E13" i="3"/>
  <c r="C16" i="3"/>
  <c r="C17" i="3" s="1"/>
  <c r="D11" i="2"/>
  <c r="D9" i="2"/>
  <c r="R39" i="51"/>
  <c r="V100" i="43"/>
  <c r="V99" i="43" s="1"/>
  <c r="V108" i="43" s="1"/>
  <c r="M39" i="51"/>
  <c r="G28" i="27"/>
  <c r="H28" i="27" s="1"/>
  <c r="E32" i="7"/>
  <c r="E29" i="52"/>
  <c r="D13" i="2" s="1"/>
  <c r="G10" i="51"/>
  <c r="G24" i="51" s="1"/>
  <c r="J16" i="55"/>
  <c r="J19" i="55" s="1"/>
  <c r="I19" i="55"/>
  <c r="D22" i="2" l="1"/>
  <c r="N55" i="51"/>
  <c r="D14" i="2"/>
  <c r="D12" i="2"/>
  <c r="D20" i="2"/>
  <c r="F13" i="3"/>
  <c r="E16" i="3"/>
  <c r="F16" i="3" s="1"/>
  <c r="F11" i="3"/>
  <c r="G31" i="27"/>
  <c r="E35" i="7"/>
  <c r="H35" i="7" s="1"/>
  <c r="H32" i="7"/>
  <c r="D29" i="4"/>
  <c r="C6" i="34"/>
  <c r="E6" i="34" s="1"/>
  <c r="C13" i="34"/>
  <c r="D30" i="4"/>
  <c r="C7" i="34" s="1"/>
  <c r="F30" i="4"/>
  <c r="F31" i="4" l="1"/>
  <c r="F45" i="4" s="1"/>
  <c r="F47" i="4" s="1"/>
  <c r="F46" i="42"/>
  <c r="F28" i="29"/>
  <c r="F29" i="29" s="1"/>
  <c r="E17" i="3"/>
  <c r="F17" i="3" s="1"/>
  <c r="C19" i="3"/>
  <c r="E19" i="3" s="1"/>
  <c r="E31" i="52"/>
  <c r="E33" i="52" s="1"/>
  <c r="E46" i="51"/>
  <c r="E13" i="34"/>
  <c r="E16" i="34" s="1"/>
  <c r="C16" i="34"/>
  <c r="E44" i="51"/>
  <c r="D31" i="4"/>
  <c r="D45" i="4" s="1"/>
  <c r="D47" i="4" s="1"/>
  <c r="F47" i="42" l="1"/>
  <c r="F48" i="42" s="1"/>
  <c r="F49" i="42" s="1"/>
  <c r="F50" i="42" s="1"/>
  <c r="M42" i="42"/>
  <c r="G46" i="42"/>
  <c r="G47" i="42" s="1"/>
  <c r="G48" i="42" s="1"/>
  <c r="F43" i="29"/>
  <c r="E43" i="29" s="1"/>
  <c r="E45" i="29" s="1"/>
  <c r="E29" i="29"/>
  <c r="C20" i="3"/>
  <c r="D17" i="2" s="1"/>
  <c r="F19" i="3"/>
  <c r="E20" i="3"/>
  <c r="I35" i="7"/>
  <c r="C8" i="34"/>
  <c r="E7" i="34"/>
  <c r="E8" i="34" s="1"/>
  <c r="G44" i="51"/>
  <c r="M42" i="51"/>
  <c r="E47" i="51"/>
  <c r="E48" i="51" s="1"/>
  <c r="E49" i="51" s="1"/>
  <c r="E50" i="51" s="1"/>
  <c r="M10" i="51"/>
  <c r="G46" i="51"/>
  <c r="R42" i="42" l="1"/>
  <c r="R48" i="42" s="1"/>
  <c r="R50" i="42" s="1"/>
  <c r="R52" i="42" s="1"/>
  <c r="R55" i="42" s="1"/>
  <c r="M48" i="42"/>
  <c r="M50" i="42" s="1"/>
  <c r="M52" i="42" s="1"/>
  <c r="M55" i="42" s="1"/>
  <c r="C22" i="3"/>
  <c r="D24" i="2"/>
  <c r="D23" i="2"/>
  <c r="E22" i="3"/>
  <c r="F22" i="3" s="1"/>
  <c r="F20" i="3"/>
  <c r="G47" i="51"/>
  <c r="G48" i="51" s="1"/>
  <c r="M48" i="51"/>
  <c r="R42" i="51"/>
  <c r="R48" i="51" s="1"/>
  <c r="R10" i="51"/>
  <c r="M28" i="51"/>
  <c r="M50" i="51" l="1"/>
  <c r="M52" i="51" s="1"/>
  <c r="M55" i="51" s="1"/>
  <c r="V81" i="43"/>
  <c r="V87" i="43" s="1"/>
  <c r="R28" i="51"/>
  <c r="R50" i="51" s="1"/>
  <c r="R52" i="51" s="1"/>
  <c r="R55" i="51" s="1"/>
  <c r="V93" i="43" l="1"/>
  <c r="V116" i="43" l="1"/>
  <c r="V117" i="43" s="1"/>
  <c r="K33" i="9" l="1"/>
  <c r="O32" i="9" s="1"/>
  <c r="K30" i="9"/>
  <c r="M33" i="9" l="1"/>
  <c r="M35" i="9" s="1"/>
  <c r="K35" i="9"/>
  <c r="K37" i="9"/>
  <c r="K38" i="9" l="1"/>
  <c r="M37" i="9"/>
  <c r="M38" i="9" s="1"/>
  <c r="P97" i="43" l="1"/>
  <c r="O99" i="43"/>
  <c r="P99" i="43" s="1"/>
  <c r="O100" i="43"/>
  <c r="P100" i="43" s="1"/>
  <c r="O108" i="43" l="1"/>
  <c r="P108" i="43" s="1"/>
  <c r="P96" i="43"/>
  <c r="H11" i="27" l="1"/>
  <c r="H12" i="27"/>
  <c r="H9" i="27"/>
  <c r="H8" i="27"/>
  <c r="E13" i="27" l="1"/>
  <c r="E15" i="27" s="1"/>
  <c r="E23" i="27" s="1"/>
  <c r="H7" i="27"/>
  <c r="H13" i="27" s="1"/>
  <c r="H15" i="27" l="1"/>
  <c r="H23" i="27" s="1"/>
  <c r="H31" i="27" s="1"/>
  <c r="E31" i="27"/>
</calcChain>
</file>

<file path=xl/sharedStrings.xml><?xml version="1.0" encoding="utf-8"?>
<sst xmlns="http://schemas.openxmlformats.org/spreadsheetml/2006/main" count="7785" uniqueCount="1460">
  <si>
    <t>Posizione finanziaria netta</t>
  </si>
  <si>
    <t>Passività finanziarie correnti</t>
  </si>
  <si>
    <t>Passività finanziarie non correnti</t>
  </si>
  <si>
    <t>Posizione finanziaria netta bancaria</t>
  </si>
  <si>
    <t>A</t>
  </si>
  <si>
    <t>Cassa</t>
  </si>
  <si>
    <t>B</t>
  </si>
  <si>
    <t>Altre disponibilità liquide</t>
  </si>
  <si>
    <t>C</t>
  </si>
  <si>
    <t>Titoli detenuti per la negoziazione</t>
  </si>
  <si>
    <t>D</t>
  </si>
  <si>
    <t xml:space="preserve"> Liquidità (A)+(B)+(C) </t>
  </si>
  <si>
    <t>E</t>
  </si>
  <si>
    <t>Crediti finanziari correnti</t>
  </si>
  <si>
    <t>F</t>
  </si>
  <si>
    <t>Debiti bancari correnti</t>
  </si>
  <si>
    <t>G</t>
  </si>
  <si>
    <t>Parte corrente dell'indebitamento non corrente</t>
  </si>
  <si>
    <t>H</t>
  </si>
  <si>
    <t>Altri debiti finanziari correnti</t>
  </si>
  <si>
    <t>I</t>
  </si>
  <si>
    <t>Indebitamento finanziario corrente (F)+(G)+(H)</t>
  </si>
  <si>
    <t>J</t>
  </si>
  <si>
    <t>Indebitamento finanziario corrente netto (I)-(E)-(D)</t>
  </si>
  <si>
    <t>K</t>
  </si>
  <si>
    <t>Debiti bancari non correnti</t>
  </si>
  <si>
    <t>L</t>
  </si>
  <si>
    <t>Obbligazioni emesse</t>
  </si>
  <si>
    <t>M</t>
  </si>
  <si>
    <t>Altri debiti non correnti</t>
  </si>
  <si>
    <t>N</t>
  </si>
  <si>
    <t>Indebitamento finanziario non corrente (K)+(L)+(M)</t>
  </si>
  <si>
    <t>O</t>
  </si>
  <si>
    <t>Indebitamento finanziario netto (J)+(N)</t>
  </si>
  <si>
    <t>Renzini S.P.A. - PFN Schema CESR</t>
  </si>
  <si>
    <t>migliaia di euro</t>
  </si>
  <si>
    <t>Ricavi e proventi</t>
  </si>
  <si>
    <t>Costi operativi</t>
  </si>
  <si>
    <t xml:space="preserve">Costo del Personale </t>
  </si>
  <si>
    <t>EBITDA</t>
  </si>
  <si>
    <t>Percentuale su totale ricavi</t>
  </si>
  <si>
    <t>Ammortamenti</t>
  </si>
  <si>
    <t>EBIT</t>
  </si>
  <si>
    <t>RISULTATO DI ESERCIZIO (COMPLESSIVO)</t>
  </si>
  <si>
    <t>Dati patrimoniali - finanziari</t>
  </si>
  <si>
    <t>Capitale investito netto</t>
  </si>
  <si>
    <t>Patrimonio netto</t>
  </si>
  <si>
    <t>Ratios</t>
  </si>
  <si>
    <t>Posizione finanziaria netta/Totale Patrimonio netto</t>
  </si>
  <si>
    <t>Posizione finanziaria netta/EBITDA</t>
  </si>
  <si>
    <t>Delta</t>
  </si>
  <si>
    <t>Delta %</t>
  </si>
  <si>
    <t>Attività immateriali</t>
  </si>
  <si>
    <t>Immobili, impianti e macchinari</t>
  </si>
  <si>
    <t>Partecipazioni</t>
  </si>
  <si>
    <t>Altre attività e passività non correnti</t>
  </si>
  <si>
    <t>Fondo Benefici ai dipendenti</t>
  </si>
  <si>
    <t>Capitale immobilizzato netto</t>
  </si>
  <si>
    <t>Rimanenze di magazzino e acconti</t>
  </si>
  <si>
    <t>Crediti commerciali</t>
  </si>
  <si>
    <t>Altre attività e passività correnti</t>
  </si>
  <si>
    <t>Capitale di esercizio netto</t>
  </si>
  <si>
    <t>Capitale sociale</t>
  </si>
  <si>
    <t>Riserve e Utili di Gruppo</t>
  </si>
  <si>
    <t>Fonti di finanziamento</t>
  </si>
  <si>
    <t>STUAZIONE PATRIMONIALE - FINANZIARIA</t>
  </si>
  <si>
    <t>note</t>
  </si>
  <si>
    <t>IFRS</t>
  </si>
  <si>
    <t xml:space="preserve">ATTIVO </t>
  </si>
  <si>
    <t>ATTIVITA' NON CORRENTI</t>
  </si>
  <si>
    <t>Altre attività</t>
  </si>
  <si>
    <t>Totale attività non correnti</t>
  </si>
  <si>
    <t>ATTIVITA' CORRENTI</t>
  </si>
  <si>
    <t>Rimanenze di magazzino ed acconti</t>
  </si>
  <si>
    <t>Totale attività correnti</t>
  </si>
  <si>
    <t>TOTALE ATTIVO</t>
  </si>
  <si>
    <t>PASSIVO E PATRIMONIO NETTO</t>
  </si>
  <si>
    <t>PATRIMONIO NETTO</t>
  </si>
  <si>
    <t>Riserve e risultati portati a nuovo</t>
  </si>
  <si>
    <t>Totale Patrimonio Netto</t>
  </si>
  <si>
    <t>PASSIVITA' NON CORRENTI</t>
  </si>
  <si>
    <t xml:space="preserve">Fondi per rischi ed oneri </t>
  </si>
  <si>
    <t>Fondi benefici ai dipendenti</t>
  </si>
  <si>
    <t>Passività finanziarie</t>
  </si>
  <si>
    <t>Imposte differite passive</t>
  </si>
  <si>
    <t>Totale passività non correnti</t>
  </si>
  <si>
    <t>PASSIVITA' CORRENTI</t>
  </si>
  <si>
    <t>Totale passività  correnti</t>
  </si>
  <si>
    <t>TOTALE PASSIVO E PATRIMONIO NETTO</t>
  </si>
  <si>
    <t>CONTO ECONOMICO COMPLESSIVO PER NATURA</t>
  </si>
  <si>
    <t>Ammortamenti e svalutazioni</t>
  </si>
  <si>
    <t>Altri costi</t>
  </si>
  <si>
    <t>Proventi finanziari</t>
  </si>
  <si>
    <t>Oneri finanziari</t>
  </si>
  <si>
    <t>Utile (Perdita) prima delle imposte</t>
  </si>
  <si>
    <t>Imposte</t>
  </si>
  <si>
    <t>Altri Utili/(Perdite) del Conto Economico Complessivo al netto dell’effetto fiscale</t>
  </si>
  <si>
    <t xml:space="preserve">TOTALE UTILE/(PERDITA) COMPLESSIVO D’ESERCIZIO (A) + (B)   </t>
  </si>
  <si>
    <t xml:space="preserve">Dati in Euro migliaia </t>
  </si>
  <si>
    <t xml:space="preserve">Valori al </t>
  </si>
  <si>
    <t xml:space="preserve">Destinazione risultato </t>
  </si>
  <si>
    <t>Risultato d'esercizio</t>
  </si>
  <si>
    <t>Risultato complessivo</t>
  </si>
  <si>
    <t>CAPITALE SOCIALE</t>
  </si>
  <si>
    <t>RISERVA LEGALE</t>
  </si>
  <si>
    <t>ALTRE RISERVE</t>
  </si>
  <si>
    <t>FTA</t>
  </si>
  <si>
    <t>UTILI (PERDITE) PORTATE A NUOVO</t>
  </si>
  <si>
    <t>UTILI (PERDITE) DEL PERIODO</t>
  </si>
  <si>
    <t>Riserva IAS OCI</t>
  </si>
  <si>
    <t>PATRIMONIO NETTO COMPLESSIVO</t>
  </si>
  <si>
    <t xml:space="preserve">Destinaz. risultato </t>
  </si>
  <si>
    <t>Risultato compl.</t>
  </si>
  <si>
    <t>UTILI (PERDITE) A NUOVO</t>
  </si>
  <si>
    <t>UTILI (PERDITE) PERIODO</t>
  </si>
  <si>
    <t>PN COMPLESSIVO</t>
  </si>
  <si>
    <t>Variazioni</t>
  </si>
  <si>
    <t>TOTALE</t>
  </si>
  <si>
    <t>Concessioni, Licenze e marchi</t>
  </si>
  <si>
    <t>Avviamento</t>
  </si>
  <si>
    <t xml:space="preserve">Terreni e fabbricati </t>
  </si>
  <si>
    <t>Impianti e macchinari</t>
  </si>
  <si>
    <t>Attrezzature industriali e commerciali</t>
  </si>
  <si>
    <t>Altri beni</t>
  </si>
  <si>
    <t>Immobilizzazioni in corso e acconti</t>
  </si>
  <si>
    <t>Materie prime, sussidiarie e di consumo</t>
  </si>
  <si>
    <t xml:space="preserve">Prodotti in corso di lavorazione </t>
  </si>
  <si>
    <t>Altre partecipazioni</t>
  </si>
  <si>
    <t xml:space="preserve">Verso clienti </t>
  </si>
  <si>
    <t>Verso altri</t>
  </si>
  <si>
    <t>Crediti tributari</t>
  </si>
  <si>
    <t>Depositi bancari e postali</t>
  </si>
  <si>
    <t>Altre riserve</t>
  </si>
  <si>
    <t>Debiti verso Banche a lungo termine</t>
  </si>
  <si>
    <t>Debiti verso soci per finanziamenti</t>
  </si>
  <si>
    <t>Valutaz. attuariale TFR</t>
  </si>
  <si>
    <t xml:space="preserve"> interessi riportabili e fondi tassati </t>
  </si>
  <si>
    <t>Totale</t>
  </si>
  <si>
    <t>Imputate a CE</t>
  </si>
  <si>
    <t>Variazioni 2014</t>
  </si>
  <si>
    <t>Variazioni 2015</t>
  </si>
  <si>
    <t>Debiti verso fornitori</t>
  </si>
  <si>
    <t>Ratei passivi</t>
  </si>
  <si>
    <t>Debiti verso Banche a breve termine</t>
  </si>
  <si>
    <t>Altri ricavi e proventi</t>
  </si>
  <si>
    <t>Sopravvenienze attive</t>
  </si>
  <si>
    <t>Oneri sociali</t>
  </si>
  <si>
    <t>Trattamento di fine rapporto</t>
  </si>
  <si>
    <t>Impianti e macch.</t>
  </si>
  <si>
    <t>Attrezz. ind. li e comm.</t>
  </si>
  <si>
    <t>Imm.ni in corso e acconti</t>
  </si>
  <si>
    <t>Costo storico</t>
  </si>
  <si>
    <t>Amm.ti e sval. accumulati</t>
  </si>
  <si>
    <t>Fair value FTA</t>
  </si>
  <si>
    <t>Investimenti</t>
  </si>
  <si>
    <t>Decrementi netti</t>
  </si>
  <si>
    <t>Svalutazioni</t>
  </si>
  <si>
    <t>VNC Finale</t>
  </si>
  <si>
    <t>Movimenti 2014</t>
  </si>
  <si>
    <t>Movimenti 2015</t>
  </si>
  <si>
    <t>Rettifiche su</t>
  </si>
  <si>
    <t>- Immobili impianti e macchinari</t>
  </si>
  <si>
    <t>- Fondi benefici ai dipendenti</t>
  </si>
  <si>
    <t>- Imposte differite passive</t>
  </si>
  <si>
    <t>Totale rettifiche</t>
  </si>
  <si>
    <t>Risultato di esercizio ITA GAAP</t>
  </si>
  <si>
    <t>Note</t>
  </si>
  <si>
    <t>- Materie prime e di consumo</t>
  </si>
  <si>
    <t xml:space="preserve">- Costo del Personale </t>
  </si>
  <si>
    <t>- Ammortamenti e svalutazioni</t>
  </si>
  <si>
    <t>- Altri costi</t>
  </si>
  <si>
    <t>- Oneri finanziari</t>
  </si>
  <si>
    <t>- Imposte</t>
  </si>
  <si>
    <t>Risultato di esercizio IFRS</t>
  </si>
  <si>
    <t>- Utili/(Perdite) attuariali</t>
  </si>
  <si>
    <t>Risultato complessivo IFRS</t>
  </si>
  <si>
    <t>ITA GAAP</t>
  </si>
  <si>
    <t>EFFETTI IFRS </t>
  </si>
  <si>
    <t>Imposte differite attive</t>
  </si>
  <si>
    <t>Totale Patrimonio netto</t>
  </si>
  <si>
    <t>Debiti tributari</t>
  </si>
  <si>
    <t>EFFETTI IFRS</t>
  </si>
  <si>
    <t>CEE Co'</t>
  </si>
  <si>
    <t xml:space="preserve"> Riclass IAS</t>
  </si>
  <si>
    <t>Cod. CO.GE.</t>
  </si>
  <si>
    <t>DESCRIZIONE</t>
  </si>
  <si>
    <t>SP/CE</t>
  </si>
  <si>
    <t>A/P</t>
  </si>
  <si>
    <t>Classe</t>
  </si>
  <si>
    <t>Voce</t>
  </si>
  <si>
    <t>IV Dir</t>
  </si>
  <si>
    <t>1</t>
  </si>
  <si>
    <t>2</t>
  </si>
  <si>
    <t>3</t>
  </si>
  <si>
    <t>SP</t>
  </si>
  <si>
    <t>ATTIVO</t>
  </si>
  <si>
    <t>Attività non correnti</t>
  </si>
  <si>
    <t>Software</t>
  </si>
  <si>
    <t>Software acquistato in proprietà</t>
  </si>
  <si>
    <t>Marchi e brevetti</t>
  </si>
  <si>
    <t>Licenze Marchi e Brevetti</t>
  </si>
  <si>
    <t>Spese Mutui</t>
  </si>
  <si>
    <t>Avviamento Renzini H. spa conferimento</t>
  </si>
  <si>
    <t>Spese Certificazioni</t>
  </si>
  <si>
    <t>Spese Ricerca e Sviluppo e di pubblicità</t>
  </si>
  <si>
    <t>Altre Attività immateriali</t>
  </si>
  <si>
    <t>Consulenze PSR</t>
  </si>
  <si>
    <t>Progettazione Franchising</t>
  </si>
  <si>
    <t>Attività materiali</t>
  </si>
  <si>
    <t>Migliorie beni di terzi Coldipozzo</t>
  </si>
  <si>
    <t>F.A. Migliorie beni di terzi CDP</t>
  </si>
  <si>
    <t>Terreni</t>
  </si>
  <si>
    <t>Terreni Montecastelli</t>
  </si>
  <si>
    <t>F. A. terreni Montecastelli</t>
  </si>
  <si>
    <t>Terreni Norcia</t>
  </si>
  <si>
    <t>F. A. terreni Norcia</t>
  </si>
  <si>
    <t>Terreni Abeto</t>
  </si>
  <si>
    <t>F. A. terreni Abeto</t>
  </si>
  <si>
    <t>Terreni Campello</t>
  </si>
  <si>
    <t>F. A. terreni Campello</t>
  </si>
  <si>
    <t>Terreni Alberobello</t>
  </si>
  <si>
    <t>F. A. terreni Alberobello</t>
  </si>
  <si>
    <t>Terreni Todiano</t>
  </si>
  <si>
    <t>Fabbricati</t>
  </si>
  <si>
    <t>Fabbricato Montecastelli</t>
  </si>
  <si>
    <t>F. A. fabbricato Montecastelli</t>
  </si>
  <si>
    <t>Prosciuttificio Norcia</t>
  </si>
  <si>
    <t>F.A. Prosciuttificio Norcia</t>
  </si>
  <si>
    <t>Fabbricato Todiano</t>
  </si>
  <si>
    <t>F.A. Fabbricato Todiano</t>
  </si>
  <si>
    <t>Fabbricato Abeto</t>
  </si>
  <si>
    <t>F.do Ammort. Fabbricato Abeto</t>
  </si>
  <si>
    <t>Fabbricato Campello</t>
  </si>
  <si>
    <t>F. A. fabbricato Campello</t>
  </si>
  <si>
    <t>Fabbricato Alberobello</t>
  </si>
  <si>
    <t>F. A. fabbricato Alberobello</t>
  </si>
  <si>
    <t>Costruzioni Leggere</t>
  </si>
  <si>
    <t>F. A. Costruzioni Leggere</t>
  </si>
  <si>
    <t>Costruzioni Leggere Campello</t>
  </si>
  <si>
    <t>F. A. Costruzioni Leggere Campello</t>
  </si>
  <si>
    <t>Impianti Generici</t>
  </si>
  <si>
    <t>F. A. impianti Generici</t>
  </si>
  <si>
    <t>Impianti Generici Norcia</t>
  </si>
  <si>
    <t>F. A. Impianti Generici Norcia</t>
  </si>
  <si>
    <t>Impianti Generici Coldipozzo</t>
  </si>
  <si>
    <t>F. A. impianti Generici Coldipozzo</t>
  </si>
  <si>
    <t>Macchinari e Impianti</t>
  </si>
  <si>
    <t>F. A. Macchinari e Impianti</t>
  </si>
  <si>
    <t>Macchinari e Impianti Norcia</t>
  </si>
  <si>
    <t>F. A. Macchinari e Impianti Norcia</t>
  </si>
  <si>
    <t>Macchinari e Impianti Abeto</t>
  </si>
  <si>
    <t>F. A. Macchinari e Impianti Abeto</t>
  </si>
  <si>
    <t>Impianti Generici Campello</t>
  </si>
  <si>
    <t>F. A. impianti Generici Campello</t>
  </si>
  <si>
    <t>Impianti e macchinari Umb.da sciss.AG</t>
  </si>
  <si>
    <t>F. A. imp. e macchin.Umb.da sciss.AG</t>
  </si>
  <si>
    <t>Macchinari Automatici Campello</t>
  </si>
  <si>
    <t>F. A. Macchinari autom.Campello</t>
  </si>
  <si>
    <t>Macchinari non automatici Campello</t>
  </si>
  <si>
    <t>F. A. Macchinari non autom.Campello</t>
  </si>
  <si>
    <t>Attrezzature</t>
  </si>
  <si>
    <t>Attrezzatura varia</t>
  </si>
  <si>
    <t>F A. Attrezatura Varia</t>
  </si>
  <si>
    <t>Attrezzatura Varia Norcia</t>
  </si>
  <si>
    <t>F A. Attrezzatura Varia Norcia</t>
  </si>
  <si>
    <t>Attrezzatura Varia Coldipozzo</t>
  </si>
  <si>
    <t>F A. Attrezzatura Varia Coldipozzo</t>
  </si>
  <si>
    <t>Attrezzatura Varia Abeto</t>
  </si>
  <si>
    <t>F A. Attrezzatura Varia Abeto</t>
  </si>
  <si>
    <t>Mobili e Arredi</t>
  </si>
  <si>
    <t>Mobili Ufficio</t>
  </si>
  <si>
    <t>F. A. mobili ufficio</t>
  </si>
  <si>
    <t xml:space="preserve">Macchine ufficio </t>
  </si>
  <si>
    <t>Macchine ordinarie ufficio</t>
  </si>
  <si>
    <t>F. A. Macchine ordinarie ufficio</t>
  </si>
  <si>
    <t>Macchine elettroniche ufficio</t>
  </si>
  <si>
    <t>F. A. Macchine elettroniche ufficio</t>
  </si>
  <si>
    <t>Autocarri</t>
  </si>
  <si>
    <t>F. A. Autocarri</t>
  </si>
  <si>
    <t>Autovetture</t>
  </si>
  <si>
    <t>F. A. Autovetture</t>
  </si>
  <si>
    <t>Arredo Coldipozzo</t>
  </si>
  <si>
    <t>F. A. Arredo Coldipozzo</t>
  </si>
  <si>
    <t>Autoveicoli Abeto</t>
  </si>
  <si>
    <t>F. A. Autoveicoli Abeto</t>
  </si>
  <si>
    <t>Mobili Ufficio Campello</t>
  </si>
  <si>
    <t>F. A. Mobili Uff.Campello</t>
  </si>
  <si>
    <t>Arredi per corner e franchising</t>
  </si>
  <si>
    <t>F. A. Arredi per coner e franchising</t>
  </si>
  <si>
    <t>Autoveicoli IAS 17</t>
  </si>
  <si>
    <t>IMAT17</t>
  </si>
  <si>
    <t>FMAT17</t>
  </si>
  <si>
    <t>Fondo Ammortamento Autoveicoli IAS 17</t>
  </si>
  <si>
    <t>Immobilizzazioni in corso e acconi</t>
  </si>
  <si>
    <t>Anticipi fornit. invest.in corso-LESS-</t>
  </si>
  <si>
    <t>Anticipi fornitori su invest.in corso</t>
  </si>
  <si>
    <t>Altre Attività non correnti</t>
  </si>
  <si>
    <t>Crediti verso altri</t>
  </si>
  <si>
    <t>Depositi Cauzionali</t>
  </si>
  <si>
    <t>Rimanenze</t>
  </si>
  <si>
    <t>Attività correnti</t>
  </si>
  <si>
    <t xml:space="preserve">  Materie prime sussidiare, di consumo e merci</t>
  </si>
  <si>
    <t>Materie prime e sussidiarie</t>
  </si>
  <si>
    <t xml:space="preserve">  Prodotti finiti, semilavorati e acconti</t>
  </si>
  <si>
    <t>Prodotti finiti Montecastelli</t>
  </si>
  <si>
    <t>Crediti verso Clienti</t>
  </si>
  <si>
    <t>Crediti commerciali correnti</t>
  </si>
  <si>
    <t>Crediti in contenzioso</t>
  </si>
  <si>
    <t>Clienti in contenzioso assicurazione</t>
  </si>
  <si>
    <t>PASSIVO</t>
  </si>
  <si>
    <t>Note di credito da emettere</t>
  </si>
  <si>
    <t>Clienti in contenzioso Multicredit</t>
  </si>
  <si>
    <t>Fondo Svalutazione crediti</t>
  </si>
  <si>
    <t>Fondi svalutazioni crediti</t>
  </si>
  <si>
    <t>Portafoglio attivo</t>
  </si>
  <si>
    <t>Cassa di Risparmio di Rimini SBF</t>
  </si>
  <si>
    <t>Fatture da Emettere</t>
  </si>
  <si>
    <t>Altre Attività correnti</t>
  </si>
  <si>
    <t>Crediti finanziari verso controllante</t>
  </si>
  <si>
    <t>Prestito Infruttifero Renzini Holding sr</t>
  </si>
  <si>
    <t>Parrini Lorenzo c/anticipo</t>
  </si>
  <si>
    <t>Credito IRES x accertamento 2010</t>
  </si>
  <si>
    <t>Credito IRAP x accertamento 2010</t>
  </si>
  <si>
    <t>Credito Iva c/compensazioni</t>
  </si>
  <si>
    <t>Erario c/acconti IRAP</t>
  </si>
  <si>
    <t>Erario c/ritenute subite</t>
  </si>
  <si>
    <t>Credito IRES x istanza rimb.IRAP</t>
  </si>
  <si>
    <t>Imposta Sostitutiva TFR</t>
  </si>
  <si>
    <t>Credito di Imposta</t>
  </si>
  <si>
    <t>Imposte anticipate non correnti</t>
  </si>
  <si>
    <t>Imposte Anticipate IRES</t>
  </si>
  <si>
    <t>Crediti vari</t>
  </si>
  <si>
    <t>Cagnetti Vincenzo c/incassi</t>
  </si>
  <si>
    <t>Bellini Tiziano c/anticipo</t>
  </si>
  <si>
    <t>Dipendenti c/anticipi</t>
  </si>
  <si>
    <t>Agribon srl</t>
  </si>
  <si>
    <t>Fornitori c/anticipi</t>
  </si>
  <si>
    <t>Marauto Maurizio c/incassi</t>
  </si>
  <si>
    <t>Anticipi trasferte</t>
  </si>
  <si>
    <t>Agenzia Multicredit c/incassi</t>
  </si>
  <si>
    <t>Ciri Massimiliano c/fondo spese</t>
  </si>
  <si>
    <t>Enasarco c/Agenti</t>
  </si>
  <si>
    <t>INAIL</t>
  </si>
  <si>
    <t>MARSH SPA</t>
  </si>
  <si>
    <t>Wind c/storno cellulari</t>
  </si>
  <si>
    <t>Rateizzazione TFR</t>
  </si>
  <si>
    <t>Cessione 1/5 Bellini</t>
  </si>
  <si>
    <t>Strumenti derivati</t>
  </si>
  <si>
    <t>SDER01</t>
  </si>
  <si>
    <t>Swap Ca.Ri. Lucca (FV)</t>
  </si>
  <si>
    <t>SDER02</t>
  </si>
  <si>
    <t>Cap Cariparma (FV)</t>
  </si>
  <si>
    <t>SDER03</t>
  </si>
  <si>
    <t>Swap MPS 0145140 (FV)</t>
  </si>
  <si>
    <t>SDER04</t>
  </si>
  <si>
    <t>Swap MPS 0150159 (FV)</t>
  </si>
  <si>
    <t>Debiti vs fornitori</t>
  </si>
  <si>
    <t>Passività correnti</t>
  </si>
  <si>
    <t>Debiti commerciali correnti</t>
  </si>
  <si>
    <t>Note di credito da ricevere</t>
  </si>
  <si>
    <t>Credito INPS x fondo TFR</t>
  </si>
  <si>
    <t>Attività finanziarie correnti</t>
  </si>
  <si>
    <t>Altri Titoli</t>
  </si>
  <si>
    <t>Partecipazione In altre imprese</t>
  </si>
  <si>
    <t>Azioni BNL</t>
  </si>
  <si>
    <t>Eurofidi</t>
  </si>
  <si>
    <t>Titoli Banca Marche</t>
  </si>
  <si>
    <t>Titoli in pegno Unipol Banca</t>
  </si>
  <si>
    <t>Titoli Banca Etruria</t>
  </si>
  <si>
    <t>Titoli pegno Banca Popolare di Vicenza</t>
  </si>
  <si>
    <t>Azioni Banco Popolare</t>
  </si>
  <si>
    <t>AFIN01</t>
  </si>
  <si>
    <t>Titoli Banca Marche Certificato di deposito</t>
  </si>
  <si>
    <t>Cassa e disponibilità liquide</t>
  </si>
  <si>
    <t>Denaro e valori in cassa</t>
  </si>
  <si>
    <t>Depositi bancari</t>
  </si>
  <si>
    <t>Banca Nazionale del Lavoro S.p.A.</t>
  </si>
  <si>
    <t>C/C Postale Umbertide 29368065</t>
  </si>
  <si>
    <t>Banca Popolare dell'Etruria e del Lazio</t>
  </si>
  <si>
    <t>Banco Popolare Società Coop - Perugia</t>
  </si>
  <si>
    <t>Casse di Risparmio dell'Umbria</t>
  </si>
  <si>
    <t>Banca Nazionale del Lavoro c/c 282</t>
  </si>
  <si>
    <t>Banca Nazionale del Lavoro cc110000 pegn</t>
  </si>
  <si>
    <t>Banca Nazionale del Lavoro c/c 321</t>
  </si>
  <si>
    <t>Monte dei Paschi di Siena S.p.A.</t>
  </si>
  <si>
    <t>Deutsche Bank S.p.A.</t>
  </si>
  <si>
    <t>Credito Emiliano S.p.A.</t>
  </si>
  <si>
    <t>Banca MPS fil. Umbertide cc 378526 PSR</t>
  </si>
  <si>
    <t>Banca MPS fil. Umbertide cc 378247 PSR</t>
  </si>
  <si>
    <t>Banca di Credito Coop di Alberobello</t>
  </si>
  <si>
    <t>Banca Popolare di Vicenza</t>
  </si>
  <si>
    <t>Cassa di Risparmio di Parma e Piacenza</t>
  </si>
  <si>
    <t>Cassa di Risparmio di Rimini cc 14sime</t>
  </si>
  <si>
    <t>C/Transitorio Assegni / Bonifici</t>
  </si>
  <si>
    <t>Banca Etruria c/c SBF 23092033</t>
  </si>
  <si>
    <t>RISCONTI ATTIVI</t>
  </si>
  <si>
    <t>Patrimonio Netto</t>
  </si>
  <si>
    <t>Capitale Sociale</t>
  </si>
  <si>
    <t>Riserva legale</t>
  </si>
  <si>
    <t>Riserva Legale</t>
  </si>
  <si>
    <t>Riserva statutaria</t>
  </si>
  <si>
    <t>Riserva Straordinaria</t>
  </si>
  <si>
    <t>Fondo rischi per conferimento</t>
  </si>
  <si>
    <t>Passività non correnti</t>
  </si>
  <si>
    <t>Fondi per rischi e oneri</t>
  </si>
  <si>
    <t>Fondi trattamento quiescenza e obblighi simili</t>
  </si>
  <si>
    <t>Fondo Indennità suppletiva clientela</t>
  </si>
  <si>
    <t>Imposte anticipate IAS 39</t>
  </si>
  <si>
    <t>IANT39S</t>
  </si>
  <si>
    <t>Imposte anticipate IAS 39 - IRES</t>
  </si>
  <si>
    <t>IANT39P</t>
  </si>
  <si>
    <t>Imposte anticipate IAS 39 - IRAP</t>
  </si>
  <si>
    <t>IANT38S</t>
  </si>
  <si>
    <t>Imposte anticipate IAS 38 - IRES</t>
  </si>
  <si>
    <t>IANT38P</t>
  </si>
  <si>
    <t>Imposte anticipate IAS 38 - IRAP</t>
  </si>
  <si>
    <t>IANT17P</t>
  </si>
  <si>
    <t>Imposte Anticipate IAS 17 - IRAP</t>
  </si>
  <si>
    <t>IANT17S</t>
  </si>
  <si>
    <t>Imposte Anticipate IAS 17 - IRES</t>
  </si>
  <si>
    <t>Imposte differite non correnti</t>
  </si>
  <si>
    <t>Fondo imposte Differite IRES</t>
  </si>
  <si>
    <t>Fondo Imposte anticipate cespiti</t>
  </si>
  <si>
    <t>Fondi relativi al personale</t>
  </si>
  <si>
    <t>Benefici successivi alla cessazione del rapporto di lavoro</t>
  </si>
  <si>
    <t>F.DO TESOR. TFR INPS</t>
  </si>
  <si>
    <t>Fondo Accantonamento TFR c/o DITTA</t>
  </si>
  <si>
    <t>F.DO TESOR. RIVALUTAZ. TFR</t>
  </si>
  <si>
    <t>Indebitamento finanziario a Breve Termine</t>
  </si>
  <si>
    <t>Verso Banche</t>
  </si>
  <si>
    <t>Unipol Banca - UGF S.p.A.</t>
  </si>
  <si>
    <t>Banca delle Marche S.p.A.</t>
  </si>
  <si>
    <t>Cassa di Risparmio di Rimini</t>
  </si>
  <si>
    <t>Banca Popolare di Spoleto</t>
  </si>
  <si>
    <t>Cassa di Risparmio di Cesena</t>
  </si>
  <si>
    <t>Unipol Banca c/c 1115</t>
  </si>
  <si>
    <t>C/Transitorio Cassa Risparmio Firenze</t>
  </si>
  <si>
    <t>C/Transitorio MPS</t>
  </si>
  <si>
    <t>C/Transitorio Insoluti</t>
  </si>
  <si>
    <t>Banca Popolare Vicenza c/anticipo fattur</t>
  </si>
  <si>
    <t>Banca Nazionale del Lavoro Antic.Fatture</t>
  </si>
  <si>
    <t>Deutsche Bank c/c anticipo fatture</t>
  </si>
  <si>
    <t>CREDEM c/c anticipo fatture italia</t>
  </si>
  <si>
    <t>CREDEM c/c anticipo fatture export</t>
  </si>
  <si>
    <t>Banca Etruria Ant Fatture c/c 382024</t>
  </si>
  <si>
    <t>Cassa di Risp. di Lucca c/c 1123817 Ant.</t>
  </si>
  <si>
    <t>MPS anticipo fatture 298906/21</t>
  </si>
  <si>
    <t>CARIPARMA c/anticipo fatture</t>
  </si>
  <si>
    <t>Banca Nazionale del Lavoro c/finanz.forn</t>
  </si>
  <si>
    <t>CARIPARMA anticipo fatture export</t>
  </si>
  <si>
    <t>Unipol Banca c/c anticipo export</t>
  </si>
  <si>
    <t>Banca Nazionale del Lavoro minimuto</t>
  </si>
  <si>
    <t>Banca Popola di Vicenza finanz. Bullett</t>
  </si>
  <si>
    <t>BNL finanziamento</t>
  </si>
  <si>
    <t>Carim finanziamento 13sime</t>
  </si>
  <si>
    <t>Banca Popola di Spoleto cc anticipo fatt</t>
  </si>
  <si>
    <t>Cassa Risparmio di Rimini cambiale Agrar</t>
  </si>
  <si>
    <t>Unipol finanziamento 14sime</t>
  </si>
  <si>
    <t>Credem finanziamento</t>
  </si>
  <si>
    <t>Banco Popolare finanziamento</t>
  </si>
  <si>
    <t>Transitorio banca</t>
  </si>
  <si>
    <t>Indebitamento finanziario a M/L Termine</t>
  </si>
  <si>
    <t>MPS MerchanBanck n.333980</t>
  </si>
  <si>
    <t>MPS MerchanBanck n.337687</t>
  </si>
  <si>
    <t>Mutuo Unipol Banca</t>
  </si>
  <si>
    <t>Mutuo Banca Etruria</t>
  </si>
  <si>
    <t>Banca Marche BEI</t>
  </si>
  <si>
    <t>Banca Marche</t>
  </si>
  <si>
    <t>Banca Toscana finanziamento TFR</t>
  </si>
  <si>
    <t>Carim finanziamento 150 mila</t>
  </si>
  <si>
    <t>Mutuo CR Lucca</t>
  </si>
  <si>
    <t>Deutsche Bank - finanziamento</t>
  </si>
  <si>
    <t>Mutuo Banca Cred.Cooperativo</t>
  </si>
  <si>
    <t>Cariparma finanziamento</t>
  </si>
  <si>
    <t>MPS Mutuo ampliamento 2014</t>
  </si>
  <si>
    <t>MPS Mutuo ampliamento 2014 2° tranche</t>
  </si>
  <si>
    <t>Verso Leasing</t>
  </si>
  <si>
    <t>DEBF17E</t>
  </si>
  <si>
    <t>Debito Credit Agricole Ias 17 entro 12m</t>
  </si>
  <si>
    <t>DEBF17O</t>
  </si>
  <si>
    <t>Debito Credit Agricole Ias 17 oltre 12m</t>
  </si>
  <si>
    <t>Fornitori c/fatture da ricevere</t>
  </si>
  <si>
    <t>Agenti c/provvigioni</t>
  </si>
  <si>
    <t>Erario c/Saldo IRAP</t>
  </si>
  <si>
    <t>Erario c/Ritenute lavoro dipendente 1001</t>
  </si>
  <si>
    <t>Erario c/Rit. lavoro aut. 1038-1040</t>
  </si>
  <si>
    <t>Erario c/Rit. redditi collab 1004</t>
  </si>
  <si>
    <t>Erario Regione 3802</t>
  </si>
  <si>
    <t>Erario C/Ritenute lavoro dipendenti 1012</t>
  </si>
  <si>
    <t>Cartelle esattoriali a ruolo</t>
  </si>
  <si>
    <t>Erario Comune cod.3848-3847</t>
  </si>
  <si>
    <t>Ag. Entrate c/rateaz. x IRAP 2011</t>
  </si>
  <si>
    <t>Equitalia c/rateaz.PROT.91994 STAZ.SPERI</t>
  </si>
  <si>
    <t>F.24 C/LIQUIDAZIONE</t>
  </si>
  <si>
    <t>Ag. Entrate c/rateaz.IRAP-IVA 2010</t>
  </si>
  <si>
    <t>Ag. Entrate c/rateaz.IRES 2010 VERIFICA</t>
  </si>
  <si>
    <t>Ag. Entrate c/rateaz. IRAP 2012</t>
  </si>
  <si>
    <t>Ag. Entrate c/rateaz. ARIES MONTONE2007</t>
  </si>
  <si>
    <t>Equitalia c/rateaz.PROT.101302-ICI 2007N</t>
  </si>
  <si>
    <t>Equitalia c/rateaz.PROT.107846-INPS SANZ</t>
  </si>
  <si>
    <t>Equitalia c/rateaz.PROT.111362 ICI+STAZ.</t>
  </si>
  <si>
    <t>Ag. Entrate c/rateaz. IRAP 2013</t>
  </si>
  <si>
    <t>Equitalia c/rateaz.PROT.116147-STAZ.SPER</t>
  </si>
  <si>
    <t>Ag. Entrate c/rateaz. x 770/2008</t>
  </si>
  <si>
    <t>Altre passivtà correnti</t>
  </si>
  <si>
    <t>Verso istituti di previdenza</t>
  </si>
  <si>
    <t>FONDO MEDIOLANUM VITA SPA</t>
  </si>
  <si>
    <t>INPS</t>
  </si>
  <si>
    <t>INAIL collaboratori - amministratori</t>
  </si>
  <si>
    <t>INPS-CONTRIB.VITA</t>
  </si>
  <si>
    <t>INPS LEGGE 335/95</t>
  </si>
  <si>
    <t>FONDO TAX BENEFIT</t>
  </si>
  <si>
    <t>FONDO ALLEATA PREVIDENTE</t>
  </si>
  <si>
    <t>FONDO ALIFOND</t>
  </si>
  <si>
    <t>FONDO FASA</t>
  </si>
  <si>
    <t>FONDO PENSION.FON.TE</t>
  </si>
  <si>
    <t>FONDI ASSIST.E PREVID.DIRIGENTI</t>
  </si>
  <si>
    <t>Rateazione INPS</t>
  </si>
  <si>
    <t>Rateazione breve INPS</t>
  </si>
  <si>
    <t>FONDO QUAS</t>
  </si>
  <si>
    <t>FIRR</t>
  </si>
  <si>
    <t>Deb. Vs Altri</t>
  </si>
  <si>
    <t>Verso dipendenti</t>
  </si>
  <si>
    <t>Ferie Dipendenti</t>
  </si>
  <si>
    <t>Finanziamento Mercedes DC684FL</t>
  </si>
  <si>
    <t>Finanziamento Alfa 159 DF104SG</t>
  </si>
  <si>
    <t>Dipendenti c/Retribuzioni</t>
  </si>
  <si>
    <t>Renzini Dante c/Compensi</t>
  </si>
  <si>
    <t>Altri Debiti</t>
  </si>
  <si>
    <t>AGEA Agenzia Erogazioni</t>
  </si>
  <si>
    <t>Cessione 1/5 Stipendio Pigliapoco</t>
  </si>
  <si>
    <t>Assicurazioni Crediti Siac</t>
  </si>
  <si>
    <t>TFR Retribuzioni Differite</t>
  </si>
  <si>
    <t>CONSORZIO I.G.P.PROSCIUTTO NORCIA</t>
  </si>
  <si>
    <t>Banelli Alice c/cessioni</t>
  </si>
  <si>
    <t>Mencagli Paola c/cessioni</t>
  </si>
  <si>
    <t>Cessione 1/5 Naticchioni</t>
  </si>
  <si>
    <t>Cessione 1/5 Barili Gianluca</t>
  </si>
  <si>
    <t>Pignoramento Equitalia 1/5 Stoppa Pietro</t>
  </si>
  <si>
    <t>Rateizzazione Esodo Pesci Antonio</t>
  </si>
  <si>
    <t>Deposito Cauzionale NORCINAPE</t>
  </si>
  <si>
    <t>Risconti passivi Pluriennali</t>
  </si>
  <si>
    <t>Riserva FTA</t>
  </si>
  <si>
    <t>Riserva FTA Attività immateriali (IAS 38)</t>
  </si>
  <si>
    <t>RFTA38</t>
  </si>
  <si>
    <t>Riserva FTA Attività materiali (IAS 16)</t>
  </si>
  <si>
    <t>RFTA16</t>
  </si>
  <si>
    <t>Riserva FTA strumenti finanziari (IAS 39)</t>
  </si>
  <si>
    <t>RFTA39</t>
  </si>
  <si>
    <t>Riserva FTA Atualizzazione TFR (IAS 19)</t>
  </si>
  <si>
    <t>RFTA19</t>
  </si>
  <si>
    <t>Riserva FTA Atualizzazione FISC (IAS 37)</t>
  </si>
  <si>
    <t>RFTA37</t>
  </si>
  <si>
    <t>Imposte differite</t>
  </si>
  <si>
    <t>FIMP17P</t>
  </si>
  <si>
    <t>Fondo Imposte differite IAS 17 - IRAP</t>
  </si>
  <si>
    <t>FIMP17S</t>
  </si>
  <si>
    <t>Fondo Imposte differite IAS 17 - IRES</t>
  </si>
  <si>
    <t>FIMP39P</t>
  </si>
  <si>
    <t>Fondo Imposte differite IAS 39 - IRAP</t>
  </si>
  <si>
    <t>FIMP39S</t>
  </si>
  <si>
    <t>Fondo Imposte differite IAS 39 - IRES</t>
  </si>
  <si>
    <t>Riserve Other Comprensive Income</t>
  </si>
  <si>
    <t>Riserva di conversione</t>
  </si>
  <si>
    <t>ROCI01</t>
  </si>
  <si>
    <t xml:space="preserve">Riserva di Rivalutazione </t>
  </si>
  <si>
    <t>ROCI02</t>
  </si>
  <si>
    <t>Riserva di cash flow hedge</t>
  </si>
  <si>
    <t>ROCI03</t>
  </si>
  <si>
    <t>Riserva per Utili e Perdite Attuariali</t>
  </si>
  <si>
    <t>ROCI04</t>
  </si>
  <si>
    <t>CE</t>
  </si>
  <si>
    <t>RICAVI</t>
  </si>
  <si>
    <t>Ricavi delle vendite</t>
  </si>
  <si>
    <t>Ricavi delle vendite e delle prestazioni</t>
  </si>
  <si>
    <t>Vendite Italia</t>
  </si>
  <si>
    <t>Vendite estero</t>
  </si>
  <si>
    <t>Corrispettivi</t>
  </si>
  <si>
    <t>Ricavi per servizi balia</t>
  </si>
  <si>
    <t>Corner c/o terzi e franchising</t>
  </si>
  <si>
    <t>Corrispettivi APE</t>
  </si>
  <si>
    <t>Altri proventi</t>
  </si>
  <si>
    <t>Ricavi diversi</t>
  </si>
  <si>
    <t>Resi su vendite estero</t>
  </si>
  <si>
    <t>Resi su vendite</t>
  </si>
  <si>
    <t>Premi Fine anno cliente</t>
  </si>
  <si>
    <t>Premi fine anno clienti esteri</t>
  </si>
  <si>
    <t>Spese promozionali variab.clienti estero</t>
  </si>
  <si>
    <t>Abbuoni e arrotondamenti passivi</t>
  </si>
  <si>
    <t>Sconti di Vendita</t>
  </si>
  <si>
    <t>Sconti Promozionali a Clienti</t>
  </si>
  <si>
    <t>Contributi Promozionali fissi</t>
  </si>
  <si>
    <t>Spese Promozionali Variabili</t>
  </si>
  <si>
    <t>Sconti Merce e/o Omaggi</t>
  </si>
  <si>
    <t>Var.riman.pr.finiti,semilav</t>
  </si>
  <si>
    <t>R.F. Prodotti Finiti</t>
  </si>
  <si>
    <t>R.I.Prodotti finiti Montecastelli</t>
  </si>
  <si>
    <t>Gruppo?</t>
  </si>
  <si>
    <t>Affitti attivi</t>
  </si>
  <si>
    <t>Premi fine anno fornitori</t>
  </si>
  <si>
    <t>Affitti Norcinape</t>
  </si>
  <si>
    <t>CONTRIBUTI IN C/CAPITALE</t>
  </si>
  <si>
    <t>ALTRI CONTRIBUTI</t>
  </si>
  <si>
    <t>Plusvalenze Patrimoniali</t>
  </si>
  <si>
    <t>COSTI</t>
  </si>
  <si>
    <t>Consumi di materie prime, sussidiarie e merci</t>
  </si>
  <si>
    <t>R.I. Materie prime e sussidiarie</t>
  </si>
  <si>
    <t>R.F. Materie prime e sussidiarie</t>
  </si>
  <si>
    <t>Acquisto Carni per lavorazioni</t>
  </si>
  <si>
    <t>Acquisto Selvaggina mista</t>
  </si>
  <si>
    <t>Acquisto Materiale per imballaggio</t>
  </si>
  <si>
    <t>Acquisto Materie sussidiarie - Aromi</t>
  </si>
  <si>
    <t>Acquisto Etichette</t>
  </si>
  <si>
    <t>Acquisto Aromi e additivi</t>
  </si>
  <si>
    <t>Acquisto Prodotti commerciali</t>
  </si>
  <si>
    <t>Acquisto Materie prime Coldipozzo</t>
  </si>
  <si>
    <t>Trasporti su acquisti</t>
  </si>
  <si>
    <t>Mediazioni su acquisti</t>
  </si>
  <si>
    <t>Acquisto Suini vivi</t>
  </si>
  <si>
    <t>Altri oneri su acquisti</t>
  </si>
  <si>
    <t>Contributo Conai</t>
  </si>
  <si>
    <t>Acquisto Vino</t>
  </si>
  <si>
    <t>Acquisto Olio</t>
  </si>
  <si>
    <t>Acquisto Salumi Lavorati</t>
  </si>
  <si>
    <t>Acquisto Materiale accessorio</t>
  </si>
  <si>
    <t>Acquisto Materie sussidiarie Coldipozzo</t>
  </si>
  <si>
    <t>Abbuoni attivi</t>
  </si>
  <si>
    <t>Attrezzatura Varia ed Utensileria Comune</t>
  </si>
  <si>
    <t>Attrezzatura e Beni Vari Coldipozzo</t>
  </si>
  <si>
    <t>Spese materiali ed indumenti monouso</t>
  </si>
  <si>
    <t>Materiale Promozionale ed espositori</t>
  </si>
  <si>
    <t>Depliants</t>
  </si>
  <si>
    <t>Carburanti e lubrificanti</t>
  </si>
  <si>
    <t>Carburanti e lubrificanti Indetraibili</t>
  </si>
  <si>
    <t>Indumenti di lavoro</t>
  </si>
  <si>
    <t>Indumenti di lavoro Coldipozzo</t>
  </si>
  <si>
    <t>Cancelleria e stampati</t>
  </si>
  <si>
    <t>Acquisto prodotti Enologici</t>
  </si>
  <si>
    <t>Costi per servizi e godimento di beni di terzi</t>
  </si>
  <si>
    <t>Assicurazione autovetture Fringe Benefit</t>
  </si>
  <si>
    <t>Forza motrice ed illuminazione</t>
  </si>
  <si>
    <t>Illuminazione Coldipozzo</t>
  </si>
  <si>
    <t>Combustibili Industriali</t>
  </si>
  <si>
    <t>Combustibili Industriali Coldipozzo</t>
  </si>
  <si>
    <t>Acqua</t>
  </si>
  <si>
    <t>Spese di ricerca</t>
  </si>
  <si>
    <t>Manutenzione autocarri</t>
  </si>
  <si>
    <t>Manutenzione autovetture</t>
  </si>
  <si>
    <t>Manutenzione autovetture indetraibili</t>
  </si>
  <si>
    <t>Manutenzione macchine e impianti</t>
  </si>
  <si>
    <t>Manutenzioni Fabbricati</t>
  </si>
  <si>
    <t>Manutenzione Attrezzatura</t>
  </si>
  <si>
    <t>Manutenzione Beni Coldipozzo</t>
  </si>
  <si>
    <t>Pulizia Igiene Laboratorio</t>
  </si>
  <si>
    <t>Pulizia Igiene Coldipozzo</t>
  </si>
  <si>
    <t>Lavorazioni di terzi</t>
  </si>
  <si>
    <t>Spese bollatura prosciutti IGP</t>
  </si>
  <si>
    <t>Diritti Veterinari di produzione</t>
  </si>
  <si>
    <t>Certificati Sanitari di produzione</t>
  </si>
  <si>
    <t>Consulenze Tecniche</t>
  </si>
  <si>
    <t>Consulenze Tecniche Indetraibili IRAP</t>
  </si>
  <si>
    <t>Canoni noleggio macchinari</t>
  </si>
  <si>
    <t>Spese Rifiuti di produzione</t>
  </si>
  <si>
    <t>Manutenzione autovetture Fringe Benefit</t>
  </si>
  <si>
    <t>Spese disinfestazione</t>
  </si>
  <si>
    <t>Manutenzioni Fabbricati Coldipozzo</t>
  </si>
  <si>
    <t>Spese disinfestazione Coldipozzo</t>
  </si>
  <si>
    <t>Migliorie beni di terzi CDP</t>
  </si>
  <si>
    <t>Acqua Coldipozzo</t>
  </si>
  <si>
    <t>Trasporti di vendita</t>
  </si>
  <si>
    <t>Spese Viaggi distribuzione</t>
  </si>
  <si>
    <t>Provvigioni</t>
  </si>
  <si>
    <t>Enasarco Carico Ditta</t>
  </si>
  <si>
    <t>Contributi FIRR</t>
  </si>
  <si>
    <t>Indennità suppletiva e sost.Clientela</t>
  </si>
  <si>
    <t>Assicurazione autocarri</t>
  </si>
  <si>
    <t>Assicurazione autovetture</t>
  </si>
  <si>
    <t>Assicurazione autovetture Indetraibili</t>
  </si>
  <si>
    <t>Rimborsi spese</t>
  </si>
  <si>
    <t>Indennizzi kilometrici</t>
  </si>
  <si>
    <t>Assicurazioni crediti</t>
  </si>
  <si>
    <t>Servizi Assicurativi polizza SIAC</t>
  </si>
  <si>
    <t>Consulenze tecniche Coldipozzo</t>
  </si>
  <si>
    <t>Indennità preavviso risoluzione rapporto</t>
  </si>
  <si>
    <t>Spese alberghi e ristoranti detraibili</t>
  </si>
  <si>
    <t>Rimborsi spese Coldipozzo</t>
  </si>
  <si>
    <t>Spese Pubblicità</t>
  </si>
  <si>
    <t>Spese Pubblicità TV Radio Giornali</t>
  </si>
  <si>
    <t>Spese pubblicità Coldipozzo</t>
  </si>
  <si>
    <t>Spese pubblicità Giornali Riviste</t>
  </si>
  <si>
    <t>Mostre e Fiere</t>
  </si>
  <si>
    <t>Spese Promoter</t>
  </si>
  <si>
    <t>Spese Marketing</t>
  </si>
  <si>
    <t>Spese Brevetti e marchi</t>
  </si>
  <si>
    <t>Spese Rappresentanza</t>
  </si>
  <si>
    <t>Consulenze Commerciale e marketing</t>
  </si>
  <si>
    <t>Spese Promoter per Corner</t>
  </si>
  <si>
    <t>Spese Commerciali Convegni ed Eventi</t>
  </si>
  <si>
    <t>Spese allestimento PV Franchising</t>
  </si>
  <si>
    <t>Spese Marketing Coldipozzo</t>
  </si>
  <si>
    <t>Spese varie commerciali</t>
  </si>
  <si>
    <t>Buoni Benzina da assegnare</t>
  </si>
  <si>
    <t>Postali e telegrafiche</t>
  </si>
  <si>
    <t>Consulenze amministrative</t>
  </si>
  <si>
    <t>Spese legali e notarili</t>
  </si>
  <si>
    <t>Emolumenti amministratori</t>
  </si>
  <si>
    <t>Contributi INPS lex 335/95</t>
  </si>
  <si>
    <t>Compensi collegio sindacale</t>
  </si>
  <si>
    <t>Spese telefoniche</t>
  </si>
  <si>
    <t>Spese Telefoniche Coldipozzo</t>
  </si>
  <si>
    <t>Spese Telefoniche Cellulari</t>
  </si>
  <si>
    <t>Spese Telefoniche Cellulari Indetraibili</t>
  </si>
  <si>
    <t>Spese Internet</t>
  </si>
  <si>
    <t>Affitti Passivi</t>
  </si>
  <si>
    <t>Canoni Assistenza software e hardware</t>
  </si>
  <si>
    <t>Manutenzioni macchine Ufficio</t>
  </si>
  <si>
    <t>Assicurazioni diverse</t>
  </si>
  <si>
    <t>Spese varie amministrative</t>
  </si>
  <si>
    <t>Spese telefoniche IndetraibiliColdipozzo</t>
  </si>
  <si>
    <t>Spese telefoniche indetraibili</t>
  </si>
  <si>
    <t>Assicurazioni indetraibili</t>
  </si>
  <si>
    <t>Spese di Sorveglianza</t>
  </si>
  <si>
    <t>Canoni Noleggio auto fringe benefit</t>
  </si>
  <si>
    <t>Noleggio auto fringe benefit indetraibi</t>
  </si>
  <si>
    <t>Canoni affitto macchinari</t>
  </si>
  <si>
    <t>Autonoleggio autoveicoli Indetraibili</t>
  </si>
  <si>
    <t>Canoni Leasing attrezzatura</t>
  </si>
  <si>
    <t>Canoni Leasing automezzi</t>
  </si>
  <si>
    <t>Consulenze marketing indetraibili IRAP</t>
  </si>
  <si>
    <t>PROGETTO STREET FOOD</t>
  </si>
  <si>
    <t>Canoni Leasing automezzi indetraibili</t>
  </si>
  <si>
    <t>Costo del Lavoro</t>
  </si>
  <si>
    <t>Salari</t>
  </si>
  <si>
    <t>Oneri su salari</t>
  </si>
  <si>
    <t>Accantonamento TFR operai</t>
  </si>
  <si>
    <t>INAIL operai</t>
  </si>
  <si>
    <t>Salari apprendisti</t>
  </si>
  <si>
    <t>Oneri su salari apprendisti</t>
  </si>
  <si>
    <t>Accantonamento TFR apprendisti</t>
  </si>
  <si>
    <t>Salari Coldipozzo</t>
  </si>
  <si>
    <t>Oneri su lavoro occas./Voucher Inps Cold</t>
  </si>
  <si>
    <t>Oneri su salari Coldipozzo</t>
  </si>
  <si>
    <t>Accantonamento TFR operai Coldipozzo</t>
  </si>
  <si>
    <t>INAIL operai Coldipozzo</t>
  </si>
  <si>
    <t>Oneri su lavoro occas./Voucher Inps</t>
  </si>
  <si>
    <t>Stipendi</t>
  </si>
  <si>
    <t>Oneri su stipendi</t>
  </si>
  <si>
    <t>INAIL stipendi</t>
  </si>
  <si>
    <t>Accantonamento TFR impiegati</t>
  </si>
  <si>
    <t>Stipendi apprendisti</t>
  </si>
  <si>
    <t>Oneri su stipendi apprendisti</t>
  </si>
  <si>
    <t>INAIL collaboratori</t>
  </si>
  <si>
    <t>Stipendi - collaboratori</t>
  </si>
  <si>
    <t>Stipendi Coldipozzo</t>
  </si>
  <si>
    <t>Lavoro Interinale/Voucher Coldipozzo</t>
  </si>
  <si>
    <t>Lavoro Interinale/Voucher</t>
  </si>
  <si>
    <t>Salari apprendisti Coldipozzo</t>
  </si>
  <si>
    <t>Oneri su salari apprendisti Coldipozzo</t>
  </si>
  <si>
    <t>Oneri Stipendi Coldipozzo</t>
  </si>
  <si>
    <t>Accantonamento TFR impieg. Coldipozzo</t>
  </si>
  <si>
    <t>Accantonamento TFR Apprend.Imp. CDP</t>
  </si>
  <si>
    <t>Accantonamento TFR apprendisti Coldipozz</t>
  </si>
  <si>
    <t>Amm.to Terreni e fabbricati</t>
  </si>
  <si>
    <t>Amm.to Impianti e macchinari</t>
  </si>
  <si>
    <t>Amm.to Attrezzature</t>
  </si>
  <si>
    <t>Amm.to Altri beni</t>
  </si>
  <si>
    <t>Amm.to Licenze e Marchi</t>
  </si>
  <si>
    <t>Amm.to Avviamento</t>
  </si>
  <si>
    <t>Amm.to Altri beni immateriali</t>
  </si>
  <si>
    <t>Amm.to Materiali Coldipozzo</t>
  </si>
  <si>
    <t>CEAM17</t>
  </si>
  <si>
    <t>Ammortamento Autoveicoli IAS 17</t>
  </si>
  <si>
    <t>Accantonamento Svalutazione crediti</t>
  </si>
  <si>
    <t>Imposte e tasse</t>
  </si>
  <si>
    <t>Imposte comunali</t>
  </si>
  <si>
    <t>Tassa CCIAA</t>
  </si>
  <si>
    <t>Imposta di bollo</t>
  </si>
  <si>
    <t>Spese Bolli</t>
  </si>
  <si>
    <t>ICI-IMU</t>
  </si>
  <si>
    <t>Tassa Circolazi. autovetture FringeBenef</t>
  </si>
  <si>
    <t>Tassa Circolazione autovetture</t>
  </si>
  <si>
    <t>Tassa Circolazione autovetture indetraib</t>
  </si>
  <si>
    <t>Tassa Circolazione autocarri</t>
  </si>
  <si>
    <t>Perdite su crediti</t>
  </si>
  <si>
    <t>Contributi associativi</t>
  </si>
  <si>
    <t>Contributi di liberalità</t>
  </si>
  <si>
    <t>Multe e contravvenzioni</t>
  </si>
  <si>
    <t>Sanzioni</t>
  </si>
  <si>
    <t>OMAGGI A CLIENTI</t>
  </si>
  <si>
    <t>Spese varie indetraibili</t>
  </si>
  <si>
    <t>Abbonamenti Riviste</t>
  </si>
  <si>
    <t>Sanzioni Coldipozzo</t>
  </si>
  <si>
    <t>Imposte e tasse indetraibili</t>
  </si>
  <si>
    <t>Proventi / Oneri finanziari Netti</t>
  </si>
  <si>
    <t>Interessi attivi su c/c bancari</t>
  </si>
  <si>
    <t>Interessi attivi crediti verso client.</t>
  </si>
  <si>
    <t>Interessi attivi su crediti d'imposta</t>
  </si>
  <si>
    <t>Altri proventi finanziari</t>
  </si>
  <si>
    <t>Interessi passivi su mutui</t>
  </si>
  <si>
    <t>Interessi pass. su c/c ordinari bancari</t>
  </si>
  <si>
    <t>Commissione sull'accordato cc</t>
  </si>
  <si>
    <t>Interessi passivi su altri debiti</t>
  </si>
  <si>
    <t>Interessi prodotti derivati</t>
  </si>
  <si>
    <t>Spese Servizi bancari</t>
  </si>
  <si>
    <t>Interessi pass. su c/c anticipi ft e sbf</t>
  </si>
  <si>
    <t>Spese e commissioni su c/c ordinari</t>
  </si>
  <si>
    <t>Spese e commissioni Mutui</t>
  </si>
  <si>
    <t>Sopravvenienze passive Coldipozzo</t>
  </si>
  <si>
    <t>Sopravvenienze passive</t>
  </si>
  <si>
    <t>Minusvalenze patrimoniali</t>
  </si>
  <si>
    <t>Altri oneri straordinari</t>
  </si>
  <si>
    <t>Transazioni</t>
  </si>
  <si>
    <t>Sconti Merce e/o Omaggi Coldipozzo</t>
  </si>
  <si>
    <t xml:space="preserve">Imposte sul reddito </t>
  </si>
  <si>
    <t>IRES d'esercizio</t>
  </si>
  <si>
    <t>IRAP d'esercizio</t>
  </si>
  <si>
    <t>Imposte differite IRES</t>
  </si>
  <si>
    <t>Imposte anticipate IRAP</t>
  </si>
  <si>
    <t>Imposte anticipate IRES</t>
  </si>
  <si>
    <t>CEID39P</t>
  </si>
  <si>
    <t>Imposte differite IAS 39 - IRAP</t>
  </si>
  <si>
    <t>CEID39S</t>
  </si>
  <si>
    <t>Imposte differite IAS 39 - IRES</t>
  </si>
  <si>
    <t>CEID38S</t>
  </si>
  <si>
    <t>Imposte differite IAS 38 - IRES</t>
  </si>
  <si>
    <t>CEID38P</t>
  </si>
  <si>
    <t>Imposte differite IAS 38 - IRAP</t>
  </si>
  <si>
    <t>CEID17P</t>
  </si>
  <si>
    <t>Imposte differite IAS 17 - IRAP</t>
  </si>
  <si>
    <t>CEID17S</t>
  </si>
  <si>
    <t>Imposte differite IAS 17 - IRES</t>
  </si>
  <si>
    <t>CEFV01</t>
  </si>
  <si>
    <t>Valutazione attività finanziarie al Fair Value</t>
  </si>
  <si>
    <t>CEFV02</t>
  </si>
  <si>
    <t>Valutazione strumenti derivati al Fair Value</t>
  </si>
  <si>
    <t>CEOF39</t>
  </si>
  <si>
    <t>Oneri finanziari IAS 39</t>
  </si>
  <si>
    <t>CEOF17</t>
  </si>
  <si>
    <t>Oneri finanziari Leasing IAS 17</t>
  </si>
  <si>
    <t>OCI</t>
  </si>
  <si>
    <t>Utili/(perdite) attuariali sull’obbligazione per benefici definiti</t>
  </si>
  <si>
    <t>A10</t>
  </si>
  <si>
    <t>A20</t>
  </si>
  <si>
    <t>A30</t>
  </si>
  <si>
    <t>A40</t>
  </si>
  <si>
    <t>A50</t>
  </si>
  <si>
    <t>A70</t>
  </si>
  <si>
    <t>A90</t>
  </si>
  <si>
    <t>A100</t>
  </si>
  <si>
    <t>A120</t>
  </si>
  <si>
    <t>A130</t>
  </si>
  <si>
    <t>A140</t>
  </si>
  <si>
    <t>Attività finanziarie</t>
  </si>
  <si>
    <t>Crediti per imposte anticipate</t>
  </si>
  <si>
    <t>Altre attività non correnti</t>
  </si>
  <si>
    <t xml:space="preserve">Crediti commerciali </t>
  </si>
  <si>
    <t>Disponibilità liquide e mezzi equivalenti</t>
  </si>
  <si>
    <t>Utile (perdita) esercizio</t>
  </si>
  <si>
    <t>Passività finanziarie -quota non corrente</t>
  </si>
  <si>
    <t xml:space="preserve">Debiti commerciali </t>
  </si>
  <si>
    <t>Altre passività correnti</t>
  </si>
  <si>
    <t>CHECK</t>
  </si>
  <si>
    <t>sp</t>
  </si>
  <si>
    <t>Avviamenti</t>
  </si>
  <si>
    <t>20a</t>
  </si>
  <si>
    <t>20b</t>
  </si>
  <si>
    <t>20c</t>
  </si>
  <si>
    <t>60a</t>
  </si>
  <si>
    <t>70a</t>
  </si>
  <si>
    <t>90a</t>
  </si>
  <si>
    <t>Depositi cauzionali</t>
  </si>
  <si>
    <t>70b</t>
  </si>
  <si>
    <t>70c</t>
  </si>
  <si>
    <t>Prodotti finiti, semilavorati e acconti</t>
  </si>
  <si>
    <t xml:space="preserve"> - fondo svalutazione crediti</t>
  </si>
  <si>
    <t>Verso correlate</t>
  </si>
  <si>
    <t>90b</t>
  </si>
  <si>
    <t>90c</t>
  </si>
  <si>
    <t>40a</t>
  </si>
  <si>
    <t>Crediti verso erario per Iva</t>
  </si>
  <si>
    <t>Crediti per eccedenza imposte versate</t>
  </si>
  <si>
    <t>Altri crediti verso erario</t>
  </si>
  <si>
    <t>80a</t>
  </si>
  <si>
    <t>80b</t>
  </si>
  <si>
    <t>80c</t>
  </si>
  <si>
    <t>110a</t>
  </si>
  <si>
    <t>110b</t>
  </si>
  <si>
    <t>Utile/(perdite) d'esercizio</t>
  </si>
  <si>
    <t>130a</t>
  </si>
  <si>
    <t>120a</t>
  </si>
  <si>
    <t>130b</t>
  </si>
  <si>
    <t>130c</t>
  </si>
  <si>
    <t>130d</t>
  </si>
  <si>
    <t>Fondo indennità suppletiva clientela</t>
  </si>
  <si>
    <t>150a</t>
  </si>
  <si>
    <t>TFR</t>
  </si>
  <si>
    <t>160a</t>
  </si>
  <si>
    <t>160b</t>
  </si>
  <si>
    <t>Debiti verso società di leasing</t>
  </si>
  <si>
    <t>160c</t>
  </si>
  <si>
    <t>210a</t>
  </si>
  <si>
    <t>210b</t>
  </si>
  <si>
    <t>210c</t>
  </si>
  <si>
    <t>190a</t>
  </si>
  <si>
    <t>Debiti per imposte</t>
  </si>
  <si>
    <t>Debito per iva</t>
  </si>
  <si>
    <t>Altri debiti tributari</t>
  </si>
  <si>
    <t>220a</t>
  </si>
  <si>
    <t>220b</t>
  </si>
  <si>
    <t>220c</t>
  </si>
  <si>
    <t>220d</t>
  </si>
  <si>
    <t>200a</t>
  </si>
  <si>
    <t>200b</t>
  </si>
  <si>
    <t>200c</t>
  </si>
  <si>
    <t>140a</t>
  </si>
  <si>
    <t>50a</t>
  </si>
  <si>
    <t>170a</t>
  </si>
  <si>
    <t>100d</t>
  </si>
  <si>
    <t>100e</t>
  </si>
  <si>
    <t>100a</t>
  </si>
  <si>
    <t>100c</t>
  </si>
  <si>
    <t>100f</t>
  </si>
  <si>
    <t>Altri titoli</t>
  </si>
  <si>
    <t>crediti per imposte anticipate</t>
  </si>
  <si>
    <t>Altre attività correnti</t>
  </si>
  <si>
    <t>Utile/(perdita) esercizio</t>
  </si>
  <si>
    <t>Passività finanziarie  non correnti</t>
  </si>
  <si>
    <t>Debiti commercilai</t>
  </si>
  <si>
    <t>31/12/2014 ITA GAAP</t>
  </si>
  <si>
    <t>31/12/2013 ITA GAAP</t>
  </si>
  <si>
    <t>Renzini SPA</t>
  </si>
  <si>
    <t>(Stato Patrimoniale riportante integralmente le attività/passività fiscali. Non sono espresse al netto)</t>
  </si>
  <si>
    <t>VARIAZIONE</t>
  </si>
  <si>
    <t>VARIAZIONI</t>
  </si>
  <si>
    <t>erogazione fin soci</t>
  </si>
  <si>
    <t>investimeni immobiliari</t>
  </si>
  <si>
    <t>immob materiali</t>
  </si>
  <si>
    <t>Crediti</t>
  </si>
  <si>
    <t>SALDO</t>
  </si>
  <si>
    <t>RENDICONTO FINANZIARIO 31.12.2014</t>
  </si>
  <si>
    <t>ATTIVITA' OPERATIVA</t>
  </si>
  <si>
    <t>Disponibilità liquide nette</t>
  </si>
  <si>
    <t>Risultato dell'esercizio</t>
  </si>
  <si>
    <t>Rettifiche per:</t>
  </si>
  <si>
    <t xml:space="preserve">  Ammortamenti e svalutazioni di immobilizzazioni</t>
  </si>
  <si>
    <t xml:space="preserve">  Altri accantonamenti e svalutazioni</t>
  </si>
  <si>
    <t>Immobili impianti e macchinari</t>
  </si>
  <si>
    <t>Investimenti immobiliari</t>
  </si>
  <si>
    <t>Variazioni di attività e passività:</t>
  </si>
  <si>
    <t xml:space="preserve">  Crediti commericali</t>
  </si>
  <si>
    <t>Altre attività finanziarie</t>
  </si>
  <si>
    <t xml:space="preserve">  Rimanenze</t>
  </si>
  <si>
    <t xml:space="preserve">  Debiti verso fornitori</t>
  </si>
  <si>
    <t xml:space="preserve">  Altre voci del capitale circolante</t>
  </si>
  <si>
    <t xml:space="preserve">  TFR</t>
  </si>
  <si>
    <t xml:space="preserve">  Fondi oneri e rischi</t>
  </si>
  <si>
    <t>Altre passività finanziarie (leasing)</t>
  </si>
  <si>
    <t>Flusso finanziario da attività operativa</t>
  </si>
  <si>
    <t>Altre passività finanziarie (fin soci)</t>
  </si>
  <si>
    <t>ATTIVITA' DI INVESTIMENTO</t>
  </si>
  <si>
    <t>Debiti-Banche ML</t>
  </si>
  <si>
    <t>Acquisto di attività materiali</t>
  </si>
  <si>
    <t>Debiti-Fornitori</t>
  </si>
  <si>
    <t>Cessione di attività materiali</t>
  </si>
  <si>
    <t>Acquisto di attività immateriali</t>
  </si>
  <si>
    <t>Cessione di attività immateriali</t>
  </si>
  <si>
    <t xml:space="preserve">Altre passività corrrenti </t>
  </si>
  <si>
    <t>Fondi oneri e rischi</t>
  </si>
  <si>
    <t>Flusso finanziario da attività di investimento</t>
  </si>
  <si>
    <t>ATTIVITA' DI FINANZIAMENTO</t>
  </si>
  <si>
    <t>Versamenti di capitale</t>
  </si>
  <si>
    <t>Capitale</t>
  </si>
  <si>
    <t>Riserve</t>
  </si>
  <si>
    <t>Utile di esercizio</t>
  </si>
  <si>
    <t>Rimborso di finanziamento soci</t>
  </si>
  <si>
    <t>Variazione netta dei finanziamenti a breve</t>
  </si>
  <si>
    <t>Flusso finanziario da attività di finanziamento</t>
  </si>
  <si>
    <t>FLUSSO FINANZIARIO COMPLESSIVO DEL PERIODO</t>
  </si>
  <si>
    <t>DISPONIBILITA' LIQUIDE NETTE INIZIALI</t>
  </si>
  <si>
    <t>DISPONIBILITA' LIQUIDE NETTE FINALI</t>
  </si>
  <si>
    <t>RENDICONTO FINANZIARIO AL 31.12.2014</t>
  </si>
  <si>
    <t>Debiti-Banche breve</t>
  </si>
  <si>
    <t>Descrizione</t>
  </si>
  <si>
    <t>A. Flusso finanziario della gestione reddituale</t>
  </si>
  <si>
    <t xml:space="preserve"> Utile (perdita) dell'esercizio</t>
  </si>
  <si>
    <t>Imposte sul reddito</t>
  </si>
  <si>
    <t>Interessi passivi (interessi attivi)</t>
  </si>
  <si>
    <t xml:space="preserve">       1. Utile (perdita) dell’esercizio prima delle imposte sul reddito, interessi,dividendi e plus/minusvalenze da cessione</t>
  </si>
  <si>
    <t xml:space="preserve">   Rettifiche per elementi non monetari che non hanno avuto contropartita</t>
  </si>
  <si>
    <t xml:space="preserve">       Accantonamenti ai fondi</t>
  </si>
  <si>
    <t xml:space="preserve">       Ammortamenti delle immobilizzazioni</t>
  </si>
  <si>
    <t xml:space="preserve">       Svalutazioni per perdite durevoli di valore</t>
  </si>
  <si>
    <t xml:space="preserve">       Altre rettifiche per elementi non monetari</t>
  </si>
  <si>
    <t xml:space="preserve">       2. Flusso finanziario prima delle variazioni del ccn</t>
  </si>
  <si>
    <t>Variazioni del capitale circolante netto</t>
  </si>
  <si>
    <t xml:space="preserve">       Decremento/(incremento) delle rimanenze</t>
  </si>
  <si>
    <t xml:space="preserve">       Decremento/(incremento) dei crediti vs clienti</t>
  </si>
  <si>
    <t xml:space="preserve">       Incremento/(decremento) dei debiti verso fornitori</t>
  </si>
  <si>
    <t xml:space="preserve">       Decremento/(incremento) ratei e risconti attivi</t>
  </si>
  <si>
    <t xml:space="preserve">       Incremento/(decremento) ratei e risconti passivi</t>
  </si>
  <si>
    <t xml:space="preserve">       Altre variazioni del capitale circolante netto</t>
  </si>
  <si>
    <t xml:space="preserve">       3. Flusso finanziario dopo le variazioni del ccn</t>
  </si>
  <si>
    <t>Altre rettifiche</t>
  </si>
  <si>
    <t xml:space="preserve">       Interessi incassati/(pagati)</t>
  </si>
  <si>
    <t xml:space="preserve">       (Imposte sul reddito pagate)</t>
  </si>
  <si>
    <t xml:space="preserve">       Dividendi incassati</t>
  </si>
  <si>
    <t xml:space="preserve">       (Utilizzo dei fondi)</t>
  </si>
  <si>
    <t xml:space="preserve">        4. Flusso finanziario dopo le altre rettifiche</t>
  </si>
  <si>
    <t>FLUSSO FINANZIARIO DELLA GESTIONE REDDITUALE (A)</t>
  </si>
  <si>
    <t>B. Flussi finanziari derivanti dall'attività di investimento</t>
  </si>
  <si>
    <t>Immobilizzazioni materiali</t>
  </si>
  <si>
    <t>(Investimenti)</t>
  </si>
  <si>
    <t>Prezzo di realizzo disinvestimenti</t>
  </si>
  <si>
    <t>Immobilizzazioni immateriali</t>
  </si>
  <si>
    <t>Immobilizzazioni finanziarie</t>
  </si>
  <si>
    <t>Immobilizzazioni finanziarie non immobilizzate</t>
  </si>
  <si>
    <t>FLUSSO FINANZIARIO DELL'ATTIVITA' DI INVESTIMENTO (B)</t>
  </si>
  <si>
    <t>C. Flussi finanziari derivanti dall'attività di finanziamento</t>
  </si>
  <si>
    <t>Mezzi di terzi</t>
  </si>
  <si>
    <t xml:space="preserve"> Incremento (decremento) debiti a breve verso banche</t>
  </si>
  <si>
    <t xml:space="preserve">   Accensione finanziamenti</t>
  </si>
  <si>
    <t xml:space="preserve">   Rimborso finanziamenti</t>
  </si>
  <si>
    <t>Mezzi propri</t>
  </si>
  <si>
    <t xml:space="preserve">  Aumento di capitale a pagamento</t>
  </si>
  <si>
    <t>FLUSSO FINANZIARIO DELL'ATTIVITA' DI FINANZIAMENTO ( C )</t>
  </si>
  <si>
    <t>INCREMENTO (DECREMENTO) DELLE DISPONIBILITA' LIQUIDE (A+-B+-C)</t>
  </si>
  <si>
    <t>Disponibilità liquide iniziali</t>
  </si>
  <si>
    <t>Disponibilità liquide finali</t>
  </si>
  <si>
    <t>INCREMENTO (DECREMENTO) DELLE DISPONIBILITA' LIQUIDE</t>
  </si>
  <si>
    <t>500a</t>
  </si>
  <si>
    <t>500b</t>
  </si>
  <si>
    <t>520a</t>
  </si>
  <si>
    <t>520b</t>
  </si>
  <si>
    <t>520c</t>
  </si>
  <si>
    <t>520d</t>
  </si>
  <si>
    <t>540a</t>
  </si>
  <si>
    <t>540b</t>
  </si>
  <si>
    <t>550a</t>
  </si>
  <si>
    <t>550b</t>
  </si>
  <si>
    <t>560a</t>
  </si>
  <si>
    <t>560b</t>
  </si>
  <si>
    <t>560c</t>
  </si>
  <si>
    <t>570b</t>
  </si>
  <si>
    <t>570a</t>
  </si>
  <si>
    <t>570c</t>
  </si>
  <si>
    <t>590c</t>
  </si>
  <si>
    <t>590b</t>
  </si>
  <si>
    <t>590a</t>
  </si>
  <si>
    <t>590f</t>
  </si>
  <si>
    <t>590e</t>
  </si>
  <si>
    <t>600a</t>
  </si>
  <si>
    <t>600b</t>
  </si>
  <si>
    <t>590d</t>
  </si>
  <si>
    <t>620a</t>
  </si>
  <si>
    <t>620b</t>
  </si>
  <si>
    <t>620c</t>
  </si>
  <si>
    <t>600a.1</t>
  </si>
  <si>
    <t>600a.2</t>
  </si>
  <si>
    <t>600b.1</t>
  </si>
  <si>
    <t>600b.2</t>
  </si>
  <si>
    <t>600b.3</t>
  </si>
  <si>
    <t>620a.1</t>
  </si>
  <si>
    <t>620a.2</t>
  </si>
  <si>
    <t>620b.1</t>
  </si>
  <si>
    <t>620b.2</t>
  </si>
  <si>
    <t>TOTALE RICAVI DELLA GESTIONE</t>
  </si>
  <si>
    <t>Premi</t>
  </si>
  <si>
    <t>Contributi</t>
  </si>
  <si>
    <t>TOTALE ALTRI RICAVI</t>
  </si>
  <si>
    <t>Variazione materie prime e sussidarie</t>
  </si>
  <si>
    <t>Costo materie prime, sussidarie e merci</t>
  </si>
  <si>
    <t>TOTALE COSTI PER MATERIE E DI CONSUMO</t>
  </si>
  <si>
    <t>Costi per servizi</t>
  </si>
  <si>
    <t>Costi per godimeno di beni di terzi</t>
  </si>
  <si>
    <t>TOTALE COSTI PER PER SERVIZI E GODIMENTO DI BENI DI TERZI</t>
  </si>
  <si>
    <t>Ammortamenti delle immobilizzazioni immateriali</t>
  </si>
  <si>
    <t>ammortamenti delle immobilizzazioni materiali</t>
  </si>
  <si>
    <t xml:space="preserve">Svalutazione crediti dell'attivo circolante </t>
  </si>
  <si>
    <t>IMU</t>
  </si>
  <si>
    <t>Altre imposte e sanzioni</t>
  </si>
  <si>
    <t>Sconti e omaggi a clienti</t>
  </si>
  <si>
    <t xml:space="preserve">Interessi attivi </t>
  </si>
  <si>
    <t>interessi passivi bancari</t>
  </si>
  <si>
    <t>Altri interessi passivi</t>
  </si>
  <si>
    <t>Imposte correnti</t>
  </si>
  <si>
    <t>Imposte differite e anticipate</t>
  </si>
  <si>
    <t>IRAP</t>
  </si>
  <si>
    <t>IRES</t>
  </si>
  <si>
    <t xml:space="preserve">Imposte differite </t>
  </si>
  <si>
    <t>imposte anticipate</t>
  </si>
  <si>
    <t xml:space="preserve">Salari e stipendi </t>
  </si>
  <si>
    <t>altre varizazioni</t>
  </si>
  <si>
    <t>Acquisto altre partecipazione</t>
  </si>
  <si>
    <t>Cessione altre partecipazioni</t>
  </si>
  <si>
    <t xml:space="preserve">RENDICONTO FINANZIARIO </t>
  </si>
  <si>
    <t>A - DISPONIBILITA' LIQUIDE E MEZZI EQUIVALENTI</t>
  </si>
  <si>
    <t>B - DISPONIBILITA' GENERATE (ASSORBITE) DALL'ATTIVITA' OPERATIVA</t>
  </si>
  <si>
    <t xml:space="preserve">Utile (perdita) delle Continuing operation </t>
  </si>
  <si>
    <t>Utile (perdita) delle Discontinued operation dopo le imposte</t>
  </si>
  <si>
    <t xml:space="preserve">Altre </t>
  </si>
  <si>
    <t>Flusso (assorbimento) di cassa dell'attività operativa prima delle variazioni del capitale circolante</t>
  </si>
  <si>
    <t xml:space="preserve">(Increm.)/decr.  Rimanenze </t>
  </si>
  <si>
    <t>(Increm.)/decr. Crediti commerciali</t>
  </si>
  <si>
    <t>Increm./(decr.) Debiti verso fornitori</t>
  </si>
  <si>
    <t>Flusso (assorbimento) di cassa dell'attività operativa per variazioni del capitale circolante</t>
  </si>
  <si>
    <t>Totale (B) Flusso di cassa derivante dall'attività operativa</t>
  </si>
  <si>
    <t>C - DISPONIBILITA' GENERATE (ASSORBITE) DALL'ATTIVITA' DI INVESTIMENTO</t>
  </si>
  <si>
    <t>Totale (C) Flusso (Assorbimento) di cassa derivante dall'attività di investimento</t>
  </si>
  <si>
    <t>D - DISPONIBILITA' GENERATE (ASSORBITE) DALLE ATTIVITA' DI FINANZIAMENTO</t>
  </si>
  <si>
    <t>Aumento capitale sociale</t>
  </si>
  <si>
    <t>Nuove accensioni</t>
  </si>
  <si>
    <t>Rimborsi finanziamenti</t>
  </si>
  <si>
    <t>Totale  (D) Flusso (Assorbimento) di cassa derivante dalle attività di finanziamento</t>
  </si>
  <si>
    <t>VARIAZIONE NETTA DELLE DISPONIBILITA' E MEZZI EQUIVALENTI</t>
  </si>
  <si>
    <t>DISPONIBILITA' E MEZZI EQUIVALENTI ALLA FINE DELL'ESERCIZIO</t>
  </si>
  <si>
    <t>IAS</t>
  </si>
  <si>
    <t>Accensione finanziamento</t>
  </si>
  <si>
    <t>Accensioni finanziamenti</t>
  </si>
  <si>
    <t>Rimoborsi finanziamenti</t>
  </si>
  <si>
    <t>Valore della produzione:</t>
  </si>
  <si>
    <t>Variazione delle rimanenze di prodotti finiti e  lavori in corso su ordinazione</t>
  </si>
  <si>
    <t>Totale valore della produzione</t>
  </si>
  <si>
    <t>Costo della produzione:</t>
  </si>
  <si>
    <t>Costi del personale</t>
  </si>
  <si>
    <t>x</t>
  </si>
  <si>
    <t>Variazioni delle rimanenze di materie prime, sussidarie e di consumo</t>
  </si>
  <si>
    <t>Accantonamenti</t>
  </si>
  <si>
    <t>Oneri diversi di gestione</t>
  </si>
  <si>
    <t>Totale Costi della produzione</t>
  </si>
  <si>
    <t>Margine operativo lordo</t>
  </si>
  <si>
    <t>Margine operativo netto</t>
  </si>
  <si>
    <t>Proventi e (Oneri) finanziari</t>
  </si>
  <si>
    <t>UTILE / (PERDITA) D’ESERCIZIO (A)</t>
  </si>
  <si>
    <t xml:space="preserve">Utili/(Perdite) attuariale della valutazione del TFR ai sensi dello IAS 19 revised </t>
  </si>
  <si>
    <t>check</t>
  </si>
  <si>
    <t>delta</t>
  </si>
  <si>
    <t>Numero medio</t>
  </si>
  <si>
    <t>Dirigenti</t>
  </si>
  <si>
    <t>Impiegati</t>
  </si>
  <si>
    <t>Operai</t>
  </si>
  <si>
    <t>Apprendisti</t>
  </si>
  <si>
    <t>Totale Dipendenti</t>
  </si>
  <si>
    <t>Aliquote ammortamento materiali</t>
  </si>
  <si>
    <t>Attrezzature industriali e comm.</t>
  </si>
  <si>
    <t>Patrimonio Netto 01/01/2014 ITA GAAP</t>
  </si>
  <si>
    <t>Patrimonio Netto 31/12/2014 IFRS</t>
  </si>
  <si>
    <t>Utile /Perdita esercizio</t>
  </si>
  <si>
    <t>Destinazione risultato 2014</t>
  </si>
  <si>
    <t>altri movimenti</t>
  </si>
  <si>
    <t>utile (perdita) complessivo</t>
  </si>
  <si>
    <t>- di cui utile (perdita) d'esercizio</t>
  </si>
  <si>
    <t>- di cui utile (perdita) altre componenti di CE</t>
  </si>
  <si>
    <t>Patrimonio Netto 31/12/2015 IFRS</t>
  </si>
  <si>
    <t>riserva statutaria</t>
  </si>
  <si>
    <t>Patrimonio Netto 01/01/2014 IFRS</t>
  </si>
  <si>
    <t>Riserva utile/(perdita) attuariale</t>
  </si>
  <si>
    <t>Destinazione risultato esercizio</t>
  </si>
  <si>
    <t>Utile complessivo dell' esercizio</t>
  </si>
  <si>
    <t>- Utile/(perdita) del periodo</t>
  </si>
  <si>
    <t>- utile/(perdita) OCI</t>
  </si>
  <si>
    <t>9&amp;</t>
  </si>
  <si>
    <t>Impianti specifici</t>
  </si>
  <si>
    <t xml:space="preserve">Impianti generici </t>
  </si>
  <si>
    <t>macchinari</t>
  </si>
  <si>
    <t>Costruzioni leggere</t>
  </si>
  <si>
    <t>Altre</t>
  </si>
  <si>
    <t>12%-20%-25%</t>
  </si>
  <si>
    <t>31/12/2013 IAS</t>
  </si>
  <si>
    <t>31/12/2014 IAS</t>
  </si>
  <si>
    <t>31/12/15
IAS</t>
  </si>
  <si>
    <t>Imm. Immateriali</t>
  </si>
  <si>
    <t>Diritti brevetto</t>
  </si>
  <si>
    <t>B.I.3</t>
  </si>
  <si>
    <t>B.I.7</t>
  </si>
  <si>
    <t>B.I.5</t>
  </si>
  <si>
    <t>Costi Ricerca e Sviluppo</t>
  </si>
  <si>
    <t>B.I.2</t>
  </si>
  <si>
    <t>Imm. Materiali</t>
  </si>
  <si>
    <t>B.II.1</t>
  </si>
  <si>
    <t>FABA</t>
  </si>
  <si>
    <t>Fabbricato Alberobello 2</t>
  </si>
  <si>
    <t>IMPM</t>
  </si>
  <si>
    <t>Impianti fissi Motecastelli</t>
  </si>
  <si>
    <t>IMPN</t>
  </si>
  <si>
    <t>Impianti fissi Norcia</t>
  </si>
  <si>
    <t>IMPA</t>
  </si>
  <si>
    <t>Impianti fissi Abeto</t>
  </si>
  <si>
    <t>IMPT</t>
  </si>
  <si>
    <t>Impianti fissi Todiano</t>
  </si>
  <si>
    <t>IMPB</t>
  </si>
  <si>
    <t>Impianti fissi Alberobello</t>
  </si>
  <si>
    <t>IMPB2</t>
  </si>
  <si>
    <t>IMPC</t>
  </si>
  <si>
    <t>Impianti fissi Campello</t>
  </si>
  <si>
    <t>FDOF</t>
  </si>
  <si>
    <t>F. A. fabbricato Alberobello 2</t>
  </si>
  <si>
    <t>FDOM</t>
  </si>
  <si>
    <t>F.do Ammort. Impianti fissi Montecastelli</t>
  </si>
  <si>
    <t>FDON</t>
  </si>
  <si>
    <t>F.do Ammort. Impianti fissi Norcia</t>
  </si>
  <si>
    <t>FDOA</t>
  </si>
  <si>
    <t>F.do Ammort. Impianti fissi Abeto</t>
  </si>
  <si>
    <t>FDOT</t>
  </si>
  <si>
    <t>F.do Ammort. Impianti fissi Todiano</t>
  </si>
  <si>
    <t>FDOB</t>
  </si>
  <si>
    <t>F.do Ammort. Impianti fissi Alberobello</t>
  </si>
  <si>
    <t>FDOB2</t>
  </si>
  <si>
    <t>FDOC</t>
  </si>
  <si>
    <t>F.do Ammort. Impianti fissi Campello</t>
  </si>
  <si>
    <t>B.II.2</t>
  </si>
  <si>
    <t>Attrezzature Ind. E comm.</t>
  </si>
  <si>
    <t>B.II.3</t>
  </si>
  <si>
    <t>B.II.4</t>
  </si>
  <si>
    <t>Imm. Mat. In corso</t>
  </si>
  <si>
    <t>B.II.5</t>
  </si>
  <si>
    <t>B.III.2</t>
  </si>
  <si>
    <t>MP</t>
  </si>
  <si>
    <t>C.I.1</t>
  </si>
  <si>
    <t>PF</t>
  </si>
  <si>
    <t>C.I.4</t>
  </si>
  <si>
    <t>C.II.1</t>
  </si>
  <si>
    <t>Debiti</t>
  </si>
  <si>
    <t>Debiti verso altri</t>
  </si>
  <si>
    <t>D.14</t>
  </si>
  <si>
    <t>Crediti verso controllanti</t>
  </si>
  <si>
    <t>C.II.4</t>
  </si>
  <si>
    <t>C.II.5</t>
  </si>
  <si>
    <t>C.II.4 BIS</t>
  </si>
  <si>
    <t>Crediti per imp. Anticipate</t>
  </si>
  <si>
    <t>C.II.4 TER</t>
  </si>
  <si>
    <t>Attività fin. Non immobilizzate</t>
  </si>
  <si>
    <t>Altre part</t>
  </si>
  <si>
    <t>C.III.4</t>
  </si>
  <si>
    <t>C.III.6</t>
  </si>
  <si>
    <t>Disponibilità liquide</t>
  </si>
  <si>
    <t>C.IV.3</t>
  </si>
  <si>
    <t>C.IV.1</t>
  </si>
  <si>
    <t>Ratei Risconti Attivi</t>
  </si>
  <si>
    <t>Risconti Attivi</t>
  </si>
  <si>
    <t>A.I</t>
  </si>
  <si>
    <t>A.IV</t>
  </si>
  <si>
    <t>A.VII</t>
  </si>
  <si>
    <t>Fondi rischi e oneri</t>
  </si>
  <si>
    <t>Altri fondi</t>
  </si>
  <si>
    <t>B.3</t>
  </si>
  <si>
    <t xml:space="preserve">Fondi di trattamento di quiescenza </t>
  </si>
  <si>
    <t>B.1</t>
  </si>
  <si>
    <t>IANT19P</t>
  </si>
  <si>
    <t>Imposte Anticipate IAS 19 - IRAP</t>
  </si>
  <si>
    <t>IANT19S</t>
  </si>
  <si>
    <t>Imposte Anticipate IAS 19 - IRES</t>
  </si>
  <si>
    <t>Fondo imposte differite</t>
  </si>
  <si>
    <t>B.2</t>
  </si>
  <si>
    <t>Fondo TFR</t>
  </si>
  <si>
    <t>Debiti verso banche</t>
  </si>
  <si>
    <t>D.4</t>
  </si>
  <si>
    <t>dD.7</t>
  </si>
  <si>
    <t>Debiti Tributari</t>
  </si>
  <si>
    <t>D.12</t>
  </si>
  <si>
    <t>Deb. Vs ist. Prev</t>
  </si>
  <si>
    <t>D.13</t>
  </si>
  <si>
    <t>Ratei e risconti passivi</t>
  </si>
  <si>
    <t>FIMP37P</t>
  </si>
  <si>
    <t>Fondo Imposte differite IAS 37 - IRAP</t>
  </si>
  <si>
    <t>FIMP37S</t>
  </si>
  <si>
    <t>Fondo Imposte differite IAS 37 - IRES</t>
  </si>
  <si>
    <t>FIMP16S</t>
  </si>
  <si>
    <t>Fondo Imposte differite IAS 16 - IRES</t>
  </si>
  <si>
    <t>FIMP16P</t>
  </si>
  <si>
    <t>Fondo Imposte differite IAS 16 - IRAP</t>
  </si>
  <si>
    <t>Valore della produzione</t>
  </si>
  <si>
    <t>Ricavi delle vendite e prestazioni</t>
  </si>
  <si>
    <t>A.1</t>
  </si>
  <si>
    <t>Variazioni PF e merci</t>
  </si>
  <si>
    <t>A.2</t>
  </si>
  <si>
    <t>Altri Ricavi e proventi</t>
  </si>
  <si>
    <t>A.5</t>
  </si>
  <si>
    <t>Costi della produzione</t>
  </si>
  <si>
    <t>Variazione MP e suss</t>
  </si>
  <si>
    <t>B.11</t>
  </si>
  <si>
    <t>Costo per MP, sussidiarie e di consumo</t>
  </si>
  <si>
    <t>B.6</t>
  </si>
  <si>
    <t>B.7</t>
  </si>
  <si>
    <t>Godimento beni di terzi</t>
  </si>
  <si>
    <t>B.8</t>
  </si>
  <si>
    <t>Noleggio autoveicoli</t>
  </si>
  <si>
    <t>B.9</t>
  </si>
  <si>
    <t>CETFR</t>
  </si>
  <si>
    <t>Accantonamento TFR Ias 19</t>
  </si>
  <si>
    <t>B.10</t>
  </si>
  <si>
    <t>B.14</t>
  </si>
  <si>
    <t>Proventi e oneri finanziari</t>
  </si>
  <si>
    <t>C.16</t>
  </si>
  <si>
    <t>Oneri Finanziari</t>
  </si>
  <si>
    <t>C.17</t>
  </si>
  <si>
    <t>Proventi  e oneri straordinari</t>
  </si>
  <si>
    <t>Oneri straordinari</t>
  </si>
  <si>
    <t>E.21</t>
  </si>
  <si>
    <t>Proventi straordinari</t>
  </si>
  <si>
    <t>E.20</t>
  </si>
  <si>
    <t>E.22</t>
  </si>
  <si>
    <t>CEID19P</t>
  </si>
  <si>
    <t>Imposte differite IAS 19 - IRAP</t>
  </si>
  <si>
    <t>CEID19S</t>
  </si>
  <si>
    <t>Imposte differite IAS 19 - IRES</t>
  </si>
  <si>
    <t>CEID16S</t>
  </si>
  <si>
    <t>Imposte differite IAS 16 - IRES</t>
  </si>
  <si>
    <t>CEID16P</t>
  </si>
  <si>
    <t>Imposte differite IAS 16 - IRAP</t>
  </si>
  <si>
    <t>EOCI04</t>
  </si>
  <si>
    <t>Destinazione risultato 2013</t>
  </si>
  <si>
    <t>Altri Movimenti</t>
  </si>
  <si>
    <t>Riserve FTA</t>
  </si>
  <si>
    <t>Risconti</t>
  </si>
  <si>
    <t>RENDICONTO FINANZIARIO AL 31.12.2015</t>
  </si>
  <si>
    <t xml:space="preserve">  Ammortamenti e svalutazioni di immobilizzazioni Immateriali</t>
  </si>
  <si>
    <t>Altre variazioni</t>
  </si>
  <si>
    <t>DEBFCML</t>
  </si>
  <si>
    <t>Quota corrente indebitamento ML termine</t>
  </si>
  <si>
    <t xml:space="preserve">Posizione finanziaria netta </t>
  </si>
  <si>
    <t>Dati in Euro migliaia</t>
  </si>
  <si>
    <t>Debiti finanziari verso soci</t>
  </si>
  <si>
    <t>Credito finanziari</t>
  </si>
  <si>
    <t>Debiti verso altri finanziatori</t>
  </si>
  <si>
    <t>Ritenute conto da pagare</t>
  </si>
  <si>
    <t>Indebitamento bancario non corrente</t>
  </si>
  <si>
    <t>Indebitamento bancario corrente</t>
  </si>
  <si>
    <t>ROT (tasso di rotazione del capitale investito)</t>
  </si>
  <si>
    <t>30a</t>
  </si>
  <si>
    <t>30b</t>
  </si>
  <si>
    <t>30c</t>
  </si>
  <si>
    <t>30d</t>
  </si>
  <si>
    <t>30e</t>
  </si>
  <si>
    <t>30cb</t>
  </si>
  <si>
    <t>30db</t>
  </si>
  <si>
    <t>30aa</t>
  </si>
  <si>
    <t>30ea</t>
  </si>
  <si>
    <t>30eb</t>
  </si>
  <si>
    <t>30ab</t>
  </si>
  <si>
    <t>30ba</t>
  </si>
  <si>
    <t>30bb</t>
  </si>
  <si>
    <t>30ca</t>
  </si>
  <si>
    <t>30da</t>
  </si>
  <si>
    <t>decrementi cs</t>
  </si>
  <si>
    <t>decrementi f.do amm.</t>
  </si>
  <si>
    <t>Fondo acc.to oneri futuri</t>
  </si>
  <si>
    <t>Accantonamento oneri futuri su deb.trib.</t>
  </si>
  <si>
    <t>Contributi c/impianti</t>
  </si>
  <si>
    <t>Rettifiche su imm. immateriali</t>
  </si>
  <si>
    <t>Rettifiche su imm. materiali</t>
  </si>
  <si>
    <t>Valutazione attuarile FISC</t>
  </si>
  <si>
    <t>Att. e pass. Finanziarie</t>
  </si>
  <si>
    <t>Contabilizz. Leasing</t>
  </si>
  <si>
    <t>200d</t>
  </si>
  <si>
    <t>140b</t>
  </si>
  <si>
    <t>Fondo oneri futuri</t>
  </si>
  <si>
    <t>Differite attive</t>
  </si>
  <si>
    <t>Differite passive</t>
  </si>
  <si>
    <t>1)</t>
  </si>
  <si>
    <t>3)</t>
  </si>
  <si>
    <t>4)</t>
  </si>
  <si>
    <t>5)</t>
  </si>
  <si>
    <t>6)</t>
  </si>
  <si>
    <t>7)</t>
  </si>
  <si>
    <t>8)</t>
  </si>
  <si>
    <t>9)</t>
  </si>
  <si>
    <t>10)</t>
  </si>
  <si>
    <t>Terreni e fabbricati</t>
  </si>
  <si>
    <t>Altre attività materiali</t>
  </si>
  <si>
    <t>ITAGAAP</t>
  </si>
  <si>
    <t xml:space="preserve">EFFETTI </t>
  </si>
  <si>
    <t>2), 10)</t>
  </si>
  <si>
    <t>classificate in circolante OIC</t>
  </si>
  <si>
    <t>Attivià finanziarie non immobilizzate</t>
  </si>
  <si>
    <t>Rettifiche per valtazione al Fair value attività finanziarie</t>
  </si>
  <si>
    <t>Acquisto attività finanziarie</t>
  </si>
  <si>
    <t>31/12/2015 ITAGAAP</t>
  </si>
  <si>
    <t>Valutazione attività finanziarie al fair value</t>
  </si>
  <si>
    <t>Rettifiche per valtazione al Fair value passività finanziarie</t>
  </si>
  <si>
    <t>attualizzazione Fisc</t>
  </si>
  <si>
    <t>riclassifica nc da emettere 61k</t>
  </si>
  <si>
    <t>riclassifica nc da ricevere 24k</t>
  </si>
  <si>
    <t>Increm./(decr.) Altre voci del circolante</t>
  </si>
  <si>
    <t>riclassifica imm in corso 200</t>
  </si>
  <si>
    <t>delta su costo ammortizzato</t>
  </si>
  <si>
    <t>-costi a CE</t>
  </si>
  <si>
    <t>Riclassifiche</t>
  </si>
  <si>
    <t>Variazione dei fondi rischi e oneri</t>
  </si>
  <si>
    <t>contributi a ammo</t>
  </si>
  <si>
    <t>1) 2) 3) 4)</t>
  </si>
  <si>
    <t>2) 4)</t>
  </si>
  <si>
    <t>6) 10)</t>
  </si>
  <si>
    <t>valori in euro</t>
  </si>
  <si>
    <t>valori in Euro</t>
  </si>
  <si>
    <t>(valori in euro )</t>
  </si>
  <si>
    <t>Descrizione (Euro)</t>
  </si>
  <si>
    <t>OIC</t>
  </si>
  <si>
    <t>IANT16S</t>
  </si>
  <si>
    <t>Imposte Anticipate IAS 16 - IRES</t>
  </si>
  <si>
    <t>IANT16P</t>
  </si>
  <si>
    <t>Imposte Anticipate IAS 16 - IRAP</t>
  </si>
  <si>
    <t>- Altre atività e passività</t>
  </si>
  <si>
    <t>- Avviamento e Attività immateriali</t>
  </si>
  <si>
    <t>- Fondi rischi e oneri</t>
  </si>
  <si>
    <t>Patrimonio Netto 01/12/2014 IFRS</t>
  </si>
  <si>
    <t>Utile /Perdita esercizio complessivo</t>
  </si>
  <si>
    <t>(valori in euro)</t>
  </si>
  <si>
    <t>Erario c/ saldo IRES</t>
  </si>
  <si>
    <t>VNC 01/01/2014</t>
  </si>
  <si>
    <t>VNC 31/12/2014</t>
  </si>
  <si>
    <t>VNC 31/12/2015</t>
  </si>
  <si>
    <t>Rettifiche su migliorie beni di terzi</t>
  </si>
  <si>
    <t>Analisi di sensitività dei principali parametri valutativi</t>
  </si>
  <si>
    <t>Tasso di turnover + 1%</t>
  </si>
  <si>
    <t>Tasso di turnover - 1%</t>
  </si>
  <si>
    <t>Tasso di inflazione + 0,25%</t>
  </si>
  <si>
    <t>Tasso di inflazione - 0,25%</t>
  </si>
  <si>
    <t>Tasso di attualizzazione + 0,25%</t>
  </si>
  <si>
    <t>Tasso di attualizzazione - 0,25%</t>
  </si>
  <si>
    <t>Service Cost e Duration</t>
  </si>
  <si>
    <t>Service Cost 01.01.2016 - 31.12.2016</t>
  </si>
  <si>
    <t xml:space="preserve">                                -   </t>
  </si>
  <si>
    <t>Duration</t>
  </si>
  <si>
    <t>Erogazioni future stimate</t>
  </si>
  <si>
    <t>Anni</t>
  </si>
  <si>
    <t>Erogazioni previste</t>
  </si>
  <si>
    <t>RENZINI SPA</t>
  </si>
  <si>
    <t>DBO 31/12/15</t>
  </si>
  <si>
    <t>RIEPILOGO DELLE BASI TECNICHE ECONOMICHE</t>
  </si>
  <si>
    <t>31.12.2015</t>
  </si>
  <si>
    <t>31.12.2014</t>
  </si>
  <si>
    <t>Tasso annuo di attualizzazione</t>
  </si>
  <si>
    <t>1,50% per 2016</t>
  </si>
  <si>
    <t>0,60% per 2015</t>
  </si>
  <si>
    <t>Tasso annuo di inflazione</t>
  </si>
  <si>
    <t>1,80% per 2017</t>
  </si>
  <si>
    <t>1,20% per 2016</t>
  </si>
  <si>
    <t>1,70% per 2018</t>
  </si>
  <si>
    <t>1,50% per 2017 e 2018</t>
  </si>
  <si>
    <t>1,6% per il 2019</t>
  </si>
  <si>
    <t>2,0% dal 2019 in poi</t>
  </si>
  <si>
    <t>2% dal 2020 in poi</t>
  </si>
  <si>
    <t>2,625% per 2016</t>
  </si>
  <si>
    <t>1,950% per 2015</t>
  </si>
  <si>
    <t>Tasso annuo di incremento TFR</t>
  </si>
  <si>
    <t>2,850% per 2017</t>
  </si>
  <si>
    <t>2,400% per 2016</t>
  </si>
  <si>
    <t>2,775% per il 2018</t>
  </si>
  <si>
    <t>2,625% per 2017 e 2018</t>
  </si>
  <si>
    <t>2,7% per il 2019</t>
  </si>
  <si>
    <t>3,0% dal 2019 in poi</t>
  </si>
  <si>
    <t>3% dal 2020 in poi</t>
  </si>
  <si>
    <t>STUAZIONE PATRIMONIALE - FINANZIARIA  BILANCIO IAS</t>
  </si>
  <si>
    <t>STUAZIONE PATRIMONIALE RICLASSIFICATA  BILANCIO IAS</t>
  </si>
  <si>
    <t>CONTO ECONOMICO COMPLESSIVO PER NATURA - BILANCIO IAS</t>
  </si>
  <si>
    <t>PROSPETTO DI RICONCILIAZIONE PATRIMONIO NETTO - BILANCIO IAS</t>
  </si>
  <si>
    <r>
      <t>ROS (</t>
    </r>
    <r>
      <rPr>
        <i/>
        <sz val="12"/>
        <color rgb="FF000000"/>
        <rFont val="Arial"/>
        <family val="2"/>
      </rPr>
      <t>return on sales</t>
    </r>
    <r>
      <rPr>
        <sz val="12"/>
        <color rgb="FF000000"/>
        <rFont val="Arial"/>
        <family val="2"/>
      </rPr>
      <t>)</t>
    </r>
  </si>
  <si>
    <r>
      <t>ROI (</t>
    </r>
    <r>
      <rPr>
        <i/>
        <sz val="12"/>
        <color rgb="FF000000"/>
        <rFont val="Arial"/>
        <family val="2"/>
      </rPr>
      <t>return on investment</t>
    </r>
    <r>
      <rPr>
        <sz val="12"/>
        <color rgb="FF000000"/>
        <rFont val="Arial"/>
        <family val="2"/>
      </rPr>
      <t>)</t>
    </r>
  </si>
  <si>
    <r>
      <t>ROE (</t>
    </r>
    <r>
      <rPr>
        <i/>
        <sz val="12"/>
        <color rgb="FF000000"/>
        <rFont val="Arial"/>
        <family val="2"/>
      </rPr>
      <t>return on equity</t>
    </r>
    <r>
      <rPr>
        <sz val="12"/>
        <color rgb="FF000000"/>
        <rFont val="Arial"/>
        <family val="2"/>
      </rPr>
      <t>)</t>
    </r>
  </si>
  <si>
    <t>Dati economici - BILANCIO 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</si>
</sst>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-* #,##0_-;\-* #,##0_-;_-* &quot;-&quot;??_-;_-@_-"/>
    <numFmt numFmtId="166" formatCode="#,##0;[Red]\(#,##0\);\-"/>
    <numFmt numFmtId="167" formatCode="#,##0.0"/>
    <numFmt numFmtId="168" formatCode="#,##0.0;[Red]\(#,##0.0\);\-"/>
    <numFmt numFmtId="169" formatCode="_(* #,##0_);_(* \(#,##0\);_(* &quot;-&quot;??_);_(@_)"/>
    <numFmt numFmtId="170" formatCode="#,##0;\(#,##0\);\-"/>
    <numFmt numFmtId="171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b/>
      <i/>
      <sz val="8"/>
      <color rgb="FF366092"/>
      <name val="Arial"/>
      <family val="2"/>
    </font>
    <font>
      <b/>
      <i/>
      <sz val="1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indexed="8"/>
      <name val="Arial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b/>
      <sz val="10"/>
      <color indexed="9"/>
      <name val="Trebuchet MS"/>
      <family val="2"/>
    </font>
    <font>
      <i/>
      <sz val="10"/>
      <name val="Trebuchet MS"/>
      <family val="2"/>
    </font>
    <font>
      <sz val="10"/>
      <color indexed="10"/>
      <name val="Trebuchet MS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color rgb="FF786860"/>
      <name val="Trebuchet MS"/>
      <family val="2"/>
    </font>
    <font>
      <b/>
      <sz val="8"/>
      <name val="Trebuchet MS"/>
      <family val="2"/>
    </font>
    <font>
      <sz val="10"/>
      <color theme="1"/>
      <name val="Trebuchet MS"/>
      <family val="2"/>
    </font>
    <font>
      <sz val="8"/>
      <color theme="1"/>
      <name val="Verdana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color rgb="FF000000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2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</cellStyleXfs>
  <cellXfs count="617">
    <xf numFmtId="0" fontId="0" fillId="0" borderId="0" xfId="0"/>
    <xf numFmtId="0" fontId="5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6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3" fontId="5" fillId="0" borderId="0" xfId="0" applyNumberFormat="1" applyFont="1"/>
    <xf numFmtId="0" fontId="5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165" fontId="3" fillId="0" borderId="4" xfId="2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10" fillId="5" borderId="23" xfId="0" applyNumberFormat="1" applyFont="1" applyFill="1" applyBorder="1" applyAlignment="1">
      <alignment vertical="center" wrapText="1"/>
    </xf>
    <xf numFmtId="49" fontId="10" fillId="5" borderId="23" xfId="0" applyNumberFormat="1" applyFont="1" applyFill="1" applyBorder="1" applyAlignment="1">
      <alignment horizontal="center" vertical="center" wrapText="1"/>
    </xf>
    <xf numFmtId="166" fontId="11" fillId="0" borderId="26" xfId="0" applyNumberFormat="1" applyFont="1" applyFill="1" applyBorder="1"/>
    <xf numFmtId="0" fontId="0" fillId="0" borderId="26" xfId="0" applyBorder="1"/>
    <xf numFmtId="0" fontId="0" fillId="0" borderId="26" xfId="0" applyBorder="1" applyAlignment="1">
      <alignment horizontal="center"/>
    </xf>
    <xf numFmtId="166" fontId="0" fillId="0" borderId="0" xfId="0" applyNumberFormat="1"/>
    <xf numFmtId="0" fontId="11" fillId="0" borderId="26" xfId="0" applyFont="1" applyBorder="1"/>
    <xf numFmtId="166" fontId="11" fillId="0" borderId="27" xfId="0" applyNumberFormat="1" applyFont="1" applyFill="1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11" fillId="0" borderId="27" xfId="0" applyFont="1" applyBorder="1"/>
    <xf numFmtId="0" fontId="0" fillId="6" borderId="0" xfId="0" applyFill="1"/>
    <xf numFmtId="0" fontId="0" fillId="7" borderId="0" xfId="0" applyFill="1"/>
    <xf numFmtId="0" fontId="11" fillId="0" borderId="28" xfId="0" applyFont="1" applyFill="1" applyBorder="1"/>
    <xf numFmtId="0" fontId="0" fillId="0" borderId="0" xfId="0" applyFill="1"/>
    <xf numFmtId="0" fontId="0" fillId="0" borderId="27" xfId="0" applyFill="1" applyBorder="1"/>
    <xf numFmtId="0" fontId="12" fillId="0" borderId="27" xfId="0" applyFont="1" applyFill="1" applyBorder="1"/>
    <xf numFmtId="167" fontId="11" fillId="0" borderId="0" xfId="0" applyNumberFormat="1" applyFont="1"/>
    <xf numFmtId="167" fontId="11" fillId="0" borderId="27" xfId="0" applyNumberFormat="1" applyFont="1" applyBorder="1"/>
    <xf numFmtId="0" fontId="11" fillId="0" borderId="27" xfId="0" applyFont="1" applyFill="1" applyBorder="1"/>
    <xf numFmtId="49" fontId="11" fillId="0" borderId="27" xfId="0" applyNumberFormat="1" applyFont="1" applyBorder="1" applyAlignment="1">
      <alignment horizontal="center" vertical="center"/>
    </xf>
    <xf numFmtId="167" fontId="11" fillId="0" borderId="27" xfId="0" applyNumberFormat="1" applyFont="1" applyBorder="1" applyAlignment="1">
      <alignment vertical="center"/>
    </xf>
    <xf numFmtId="49" fontId="11" fillId="0" borderId="27" xfId="0" applyNumberFormat="1" applyFont="1" applyBorder="1"/>
    <xf numFmtId="167" fontId="11" fillId="0" borderId="27" xfId="0" applyNumberFormat="1" applyFont="1" applyBorder="1" applyAlignment="1">
      <alignment horizontal="left" indent="1"/>
    </xf>
    <xf numFmtId="0" fontId="0" fillId="0" borderId="0" xfId="0" applyFill="1" applyBorder="1"/>
    <xf numFmtId="0" fontId="11" fillId="7" borderId="27" xfId="0" applyFont="1" applyFill="1" applyBorder="1"/>
    <xf numFmtId="0" fontId="13" fillId="0" borderId="27" xfId="0" applyNumberFormat="1" applyFont="1" applyFill="1" applyBorder="1" applyAlignment="1">
      <alignment horizontal="left" vertical="top" indent="1"/>
    </xf>
    <xf numFmtId="0" fontId="13" fillId="0" borderId="27" xfId="0" applyNumberFormat="1" applyFont="1" applyFill="1" applyBorder="1" applyAlignment="1">
      <alignment horizontal="left" vertical="top"/>
    </xf>
    <xf numFmtId="0" fontId="11" fillId="0" borderId="29" xfId="0" applyFont="1" applyFill="1" applyBorder="1"/>
    <xf numFmtId="168" fontId="14" fillId="0" borderId="0" xfId="0" applyNumberFormat="1" applyFont="1"/>
    <xf numFmtId="0" fontId="0" fillId="0" borderId="0" xfId="0" applyAlignment="1">
      <alignment horizontal="center"/>
    </xf>
    <xf numFmtId="0" fontId="6" fillId="0" borderId="5" xfId="0" applyFont="1" applyBorder="1" applyAlignment="1">
      <alignment vertical="center"/>
    </xf>
    <xf numFmtId="165" fontId="5" fillId="0" borderId="0" xfId="2" applyNumberFormat="1" applyFont="1" applyBorder="1" applyAlignment="1">
      <alignment horizontal="right" vertical="center"/>
    </xf>
    <xf numFmtId="165" fontId="6" fillId="0" borderId="2" xfId="2" applyNumberFormat="1" applyFont="1" applyBorder="1" applyAlignment="1">
      <alignment horizontal="right" vertical="center"/>
    </xf>
    <xf numFmtId="165" fontId="6" fillId="0" borderId="6" xfId="2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0" borderId="3" xfId="0" applyFont="1" applyBorder="1"/>
    <xf numFmtId="3" fontId="5" fillId="0" borderId="0" xfId="0" applyNumberFormat="1" applyFont="1" applyFill="1" applyBorder="1" applyAlignment="1">
      <alignment horizontal="right" vertical="center"/>
    </xf>
    <xf numFmtId="165" fontId="11" fillId="0" borderId="0" xfId="2" applyNumberFormat="1" applyFont="1"/>
    <xf numFmtId="0" fontId="11" fillId="0" borderId="0" xfId="0" applyFont="1"/>
    <xf numFmtId="0" fontId="11" fillId="0" borderId="0" xfId="0" applyFont="1" applyFill="1"/>
    <xf numFmtId="165" fontId="10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5" fontId="11" fillId="8" borderId="0" xfId="2" applyNumberFormat="1" applyFont="1" applyFill="1" applyAlignment="1">
      <alignment horizontal="center"/>
    </xf>
    <xf numFmtId="165" fontId="11" fillId="8" borderId="0" xfId="2" quotePrefix="1" applyNumberFormat="1" applyFont="1" applyFill="1" applyBorder="1" applyAlignment="1">
      <alignment horizontal="center"/>
    </xf>
    <xf numFmtId="14" fontId="16" fillId="9" borderId="34" xfId="2" applyNumberFormat="1" applyFont="1" applyFill="1" applyBorder="1" applyAlignment="1">
      <alignment horizontal="center"/>
    </xf>
    <xf numFmtId="0" fontId="16" fillId="9" borderId="3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11" fillId="8" borderId="0" xfId="2" applyNumberFormat="1" applyFont="1" applyFill="1"/>
    <xf numFmtId="165" fontId="11" fillId="8" borderId="0" xfId="2" applyNumberFormat="1" applyFont="1" applyFill="1" applyBorder="1"/>
    <xf numFmtId="0" fontId="11" fillId="8" borderId="0" xfId="0" applyFont="1" applyFill="1"/>
    <xf numFmtId="0" fontId="12" fillId="0" borderId="7" xfId="0" applyFont="1" applyBorder="1"/>
    <xf numFmtId="0" fontId="11" fillId="0" borderId="8" xfId="0" applyFont="1" applyBorder="1"/>
    <xf numFmtId="169" fontId="11" fillId="0" borderId="8" xfId="0" applyNumberFormat="1" applyFont="1" applyBorder="1"/>
    <xf numFmtId="169" fontId="11" fillId="0" borderId="9" xfId="0" applyNumberFormat="1" applyFont="1" applyBorder="1"/>
    <xf numFmtId="165" fontId="10" fillId="0" borderId="0" xfId="2" applyNumberFormat="1" applyFont="1" applyFill="1" applyBorder="1" applyProtection="1">
      <protection locked="0"/>
    </xf>
    <xf numFmtId="169" fontId="11" fillId="8" borderId="0" xfId="2" applyNumberFormat="1" applyFont="1" applyFill="1" applyProtection="1">
      <protection locked="0"/>
    </xf>
    <xf numFmtId="0" fontId="11" fillId="0" borderId="3" xfId="0" applyFont="1" applyBorder="1"/>
    <xf numFmtId="0" fontId="11" fillId="0" borderId="0" xfId="0" applyFont="1" applyBorder="1"/>
    <xf numFmtId="169" fontId="11" fillId="0" borderId="0" xfId="0" applyNumberFormat="1" applyFont="1" applyBorder="1"/>
    <xf numFmtId="169" fontId="11" fillId="0" borderId="4" xfId="0" applyNumberFormat="1" applyFont="1" applyBorder="1"/>
    <xf numFmtId="169" fontId="11" fillId="8" borderId="34" xfId="2" applyNumberFormat="1" applyFont="1" applyFill="1" applyBorder="1" applyProtection="1">
      <protection locked="0"/>
    </xf>
    <xf numFmtId="169" fontId="12" fillId="0" borderId="3" xfId="2" applyNumberFormat="1" applyFont="1" applyFill="1" applyBorder="1" applyProtection="1">
      <protection locked="0"/>
    </xf>
    <xf numFmtId="169" fontId="12" fillId="0" borderId="0" xfId="2" applyNumberFormat="1" applyFont="1" applyFill="1" applyBorder="1" applyProtection="1">
      <protection locked="0"/>
    </xf>
    <xf numFmtId="169" fontId="12" fillId="0" borderId="4" xfId="0" applyNumberFormat="1" applyFont="1" applyBorder="1"/>
    <xf numFmtId="165" fontId="12" fillId="8" borderId="0" xfId="2" applyNumberFormat="1" applyFont="1" applyFill="1"/>
    <xf numFmtId="169" fontId="12" fillId="8" borderId="35" xfId="2" applyNumberFormat="1" applyFont="1" applyFill="1" applyBorder="1" applyProtection="1">
      <protection locked="0"/>
    </xf>
    <xf numFmtId="169" fontId="11" fillId="0" borderId="3" xfId="2" applyNumberFormat="1" applyFont="1" applyFill="1" applyBorder="1" applyProtection="1">
      <protection locked="0"/>
    </xf>
    <xf numFmtId="169" fontId="11" fillId="0" borderId="0" xfId="2" applyNumberFormat="1" applyFont="1" applyFill="1" applyBorder="1" applyProtection="1">
      <protection locked="0"/>
    </xf>
    <xf numFmtId="169" fontId="12" fillId="8" borderId="36" xfId="2" applyNumberFormat="1" applyFont="1" applyFill="1" applyBorder="1" applyProtection="1">
      <protection locked="0"/>
    </xf>
    <xf numFmtId="169" fontId="11" fillId="8" borderId="0" xfId="2" applyNumberFormat="1" applyFont="1" applyFill="1"/>
    <xf numFmtId="0" fontId="11" fillId="8" borderId="0" xfId="0" applyFont="1" applyFill="1" applyBorder="1"/>
    <xf numFmtId="169" fontId="11" fillId="8" borderId="0" xfId="2" quotePrefix="1" applyNumberFormat="1" applyFont="1" applyFill="1" applyBorder="1" applyAlignment="1">
      <alignment horizontal="center"/>
    </xf>
    <xf numFmtId="169" fontId="12" fillId="0" borderId="37" xfId="2" applyNumberFormat="1" applyFont="1" applyFill="1" applyBorder="1" applyProtection="1">
      <protection locked="0"/>
    </xf>
    <xf numFmtId="169" fontId="12" fillId="0" borderId="35" xfId="2" applyNumberFormat="1" applyFont="1" applyFill="1" applyBorder="1" applyProtection="1">
      <protection locked="0"/>
    </xf>
    <xf numFmtId="169" fontId="10" fillId="0" borderId="35" xfId="2" applyNumberFormat="1" applyFont="1" applyFill="1" applyBorder="1" applyAlignment="1" applyProtection="1">
      <alignment horizontal="right"/>
      <protection locked="0"/>
    </xf>
    <xf numFmtId="169" fontId="12" fillId="10" borderId="38" xfId="2" applyNumberFormat="1" applyFont="1" applyFill="1" applyBorder="1" applyProtection="1">
      <protection locked="0"/>
    </xf>
    <xf numFmtId="169" fontId="12" fillId="0" borderId="4" xfId="2" applyNumberFormat="1" applyFont="1" applyFill="1" applyBorder="1" applyProtection="1">
      <protection locked="0"/>
    </xf>
    <xf numFmtId="169" fontId="11" fillId="0" borderId="0" xfId="0" applyNumberFormat="1" applyFont="1"/>
    <xf numFmtId="169" fontId="17" fillId="0" borderId="0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/>
    <xf numFmtId="169" fontId="12" fillId="8" borderId="36" xfId="2" applyNumberFormat="1" applyFont="1" applyFill="1" applyBorder="1"/>
    <xf numFmtId="169" fontId="11" fillId="0" borderId="0" xfId="2" applyNumberFormat="1" applyFont="1" applyFill="1" applyProtection="1">
      <protection locked="0"/>
    </xf>
    <xf numFmtId="169" fontId="11" fillId="0" borderId="34" xfId="2" applyNumberFormat="1" applyFont="1" applyFill="1" applyBorder="1" applyProtection="1">
      <protection locked="0"/>
    </xf>
    <xf numFmtId="169" fontId="12" fillId="0" borderId="39" xfId="0" applyNumberFormat="1" applyFont="1" applyBorder="1"/>
    <xf numFmtId="169" fontId="11" fillId="0" borderId="18" xfId="2" applyNumberFormat="1" applyFont="1" applyFill="1" applyBorder="1" applyProtection="1">
      <protection locked="0"/>
    </xf>
    <xf numFmtId="169" fontId="12" fillId="0" borderId="40" xfId="2" applyNumberFormat="1" applyFont="1" applyFill="1" applyBorder="1" applyProtection="1">
      <protection locked="0"/>
    </xf>
    <xf numFmtId="0" fontId="11" fillId="0" borderId="10" xfId="0" applyFont="1" applyBorder="1"/>
    <xf numFmtId="0" fontId="11" fillId="0" borderId="1" xfId="0" applyFont="1" applyBorder="1"/>
    <xf numFmtId="169" fontId="11" fillId="0" borderId="1" xfId="0" applyNumberFormat="1" applyFont="1" applyBorder="1"/>
    <xf numFmtId="169" fontId="11" fillId="0" borderId="11" xfId="0" applyNumberFormat="1" applyFont="1" applyBorder="1"/>
    <xf numFmtId="169" fontId="18" fillId="0" borderId="0" xfId="2" applyNumberFormat="1" applyFont="1" applyFill="1" applyProtection="1">
      <protection locked="0"/>
    </xf>
    <xf numFmtId="0" fontId="6" fillId="2" borderId="32" xfId="0" applyFont="1" applyFill="1" applyBorder="1" applyAlignment="1">
      <alignment horizontal="center" vertical="center" wrapText="1"/>
    </xf>
    <xf numFmtId="14" fontId="6" fillId="2" borderId="17" xfId="0" applyNumberFormat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justify" vertical="center" wrapText="1"/>
    </xf>
    <xf numFmtId="0" fontId="19" fillId="11" borderId="0" xfId="0" applyFont="1" applyFill="1" applyAlignment="1">
      <alignment horizontal="justify" vertical="center" wrapText="1"/>
    </xf>
    <xf numFmtId="0" fontId="20" fillId="11" borderId="0" xfId="0" applyFont="1" applyFill="1" applyAlignment="1">
      <alignment horizontal="right" vertical="center" wrapText="1"/>
    </xf>
    <xf numFmtId="14" fontId="19" fillId="11" borderId="0" xfId="0" applyNumberFormat="1" applyFont="1" applyFill="1" applyAlignment="1">
      <alignment horizontal="center" vertical="center" wrapText="1"/>
    </xf>
    <xf numFmtId="3" fontId="20" fillId="0" borderId="0" xfId="0" applyNumberFormat="1" applyFont="1" applyAlignment="1">
      <alignment horizontal="right" vertical="center" wrapText="1"/>
    </xf>
    <xf numFmtId="3" fontId="20" fillId="11" borderId="0" xfId="0" applyNumberFormat="1" applyFont="1" applyFill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3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0" fontId="22" fillId="0" borderId="25" xfId="0" applyFont="1" applyFill="1" applyBorder="1" applyAlignment="1">
      <alignment horizontal="left" vertical="center" wrapText="1"/>
    </xf>
    <xf numFmtId="164" fontId="22" fillId="0" borderId="25" xfId="2" applyFont="1" applyFill="1" applyBorder="1" applyAlignment="1">
      <alignment horizontal="right" vertical="center" wrapText="1"/>
    </xf>
    <xf numFmtId="10" fontId="23" fillId="0" borderId="25" xfId="0" applyNumberFormat="1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164" fontId="22" fillId="0" borderId="25" xfId="2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 wrapText="1"/>
    </xf>
    <xf numFmtId="164" fontId="22" fillId="0" borderId="24" xfId="2" applyFont="1" applyFill="1" applyBorder="1" applyAlignment="1">
      <alignment horizontal="right" vertical="center" wrapText="1"/>
    </xf>
    <xf numFmtId="10" fontId="22" fillId="0" borderId="24" xfId="0" applyNumberFormat="1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164" fontId="22" fillId="0" borderId="24" xfId="2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4" fillId="0" borderId="0" xfId="2" applyFont="1" applyFill="1" applyBorder="1" applyAlignment="1">
      <alignment horizontal="right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164" fontId="24" fillId="0" borderId="25" xfId="2" applyFont="1" applyFill="1" applyBorder="1" applyAlignment="1">
      <alignment horizontal="center" vertical="center" wrapText="1"/>
    </xf>
    <xf numFmtId="10" fontId="23" fillId="0" borderId="4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166" fontId="21" fillId="0" borderId="8" xfId="2" applyNumberFormat="1" applyFont="1" applyBorder="1" applyAlignment="1">
      <alignment vertical="center"/>
    </xf>
    <xf numFmtId="166" fontId="21" fillId="0" borderId="9" xfId="2" applyNumberFormat="1" applyFont="1" applyBorder="1" applyAlignment="1">
      <alignment vertical="center"/>
    </xf>
    <xf numFmtId="166" fontId="21" fillId="0" borderId="0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6" fontId="21" fillId="0" borderId="2" xfId="2" applyNumberFormat="1" applyFont="1" applyBorder="1" applyAlignment="1">
      <alignment vertical="center"/>
    </xf>
    <xf numFmtId="166" fontId="21" fillId="0" borderId="6" xfId="2" applyNumberFormat="1" applyFont="1" applyBorder="1" applyAlignment="1">
      <alignment vertical="center"/>
    </xf>
    <xf numFmtId="0" fontId="25" fillId="0" borderId="3" xfId="0" applyFont="1" applyBorder="1"/>
    <xf numFmtId="9" fontId="25" fillId="0" borderId="4" xfId="0" applyNumberFormat="1" applyFont="1" applyBorder="1" applyAlignment="1">
      <alignment horizontal="center"/>
    </xf>
    <xf numFmtId="0" fontId="25" fillId="0" borderId="10" xfId="0" applyFont="1" applyBorder="1"/>
    <xf numFmtId="0" fontId="6" fillId="0" borderId="0" xfId="0" applyFont="1" applyBorder="1" applyAlignment="1">
      <alignment vertical="center"/>
    </xf>
    <xf numFmtId="3" fontId="6" fillId="0" borderId="15" xfId="0" applyNumberFormat="1" applyFont="1" applyBorder="1" applyAlignment="1">
      <alignment horizontal="center" vertical="center" wrapText="1"/>
    </xf>
    <xf numFmtId="0" fontId="7" fillId="0" borderId="0" xfId="0" quotePrefix="1" applyFont="1"/>
    <xf numFmtId="0" fontId="5" fillId="0" borderId="0" xfId="0" quotePrefix="1" applyFont="1" applyAlignment="1">
      <alignment vertical="center"/>
    </xf>
    <xf numFmtId="0" fontId="25" fillId="0" borderId="3" xfId="0" quotePrefix="1" applyFont="1" applyBorder="1"/>
    <xf numFmtId="9" fontId="25" fillId="0" borderId="9" xfId="0" applyNumberFormat="1" applyFont="1" applyBorder="1" applyAlignment="1">
      <alignment horizontal="center"/>
    </xf>
    <xf numFmtId="9" fontId="25" fillId="0" borderId="11" xfId="0" applyNumberFormat="1" applyFont="1" applyBorder="1" applyAlignment="1">
      <alignment horizontal="center"/>
    </xf>
    <xf numFmtId="0" fontId="25" fillId="0" borderId="7" xfId="0" applyFont="1" applyBorder="1" applyAlignment="1">
      <alignment horizontal="left"/>
    </xf>
    <xf numFmtId="165" fontId="5" fillId="0" borderId="0" xfId="0" applyNumberFormat="1" applyFont="1"/>
    <xf numFmtId="170" fontId="5" fillId="0" borderId="0" xfId="2" applyNumberFormat="1" applyFont="1" applyBorder="1" applyAlignment="1">
      <alignment vertical="center"/>
    </xf>
    <xf numFmtId="170" fontId="5" fillId="0" borderId="4" xfId="0" applyNumberFormat="1" applyFont="1" applyBorder="1" applyAlignment="1">
      <alignment horizontal="right" vertical="center"/>
    </xf>
    <xf numFmtId="170" fontId="5" fillId="0" borderId="1" xfId="0" applyNumberFormat="1" applyFont="1" applyBorder="1" applyAlignment="1">
      <alignment vertical="center"/>
    </xf>
    <xf numFmtId="170" fontId="6" fillId="0" borderId="0" xfId="2" applyNumberFormat="1" applyFont="1" applyBorder="1" applyAlignment="1">
      <alignment horizontal="right" vertical="center"/>
    </xf>
    <xf numFmtId="170" fontId="5" fillId="0" borderId="0" xfId="2" applyNumberFormat="1" applyFont="1"/>
    <xf numFmtId="170" fontId="6" fillId="0" borderId="0" xfId="2" applyNumberFormat="1" applyFont="1"/>
    <xf numFmtId="170" fontId="5" fillId="0" borderId="0" xfId="2" applyNumberFormat="1" applyFont="1" applyAlignment="1">
      <alignment vertical="center"/>
    </xf>
    <xf numFmtId="170" fontId="5" fillId="0" borderId="0" xfId="2" applyNumberFormat="1" applyFont="1" applyAlignment="1">
      <alignment horizontal="right" vertical="center"/>
    </xf>
    <xf numFmtId="170" fontId="6" fillId="0" borderId="15" xfId="2" applyNumberFormat="1" applyFont="1" applyBorder="1" applyAlignment="1">
      <alignment horizontal="right" vertical="center"/>
    </xf>
    <xf numFmtId="170" fontId="5" fillId="0" borderId="0" xfId="2" applyNumberFormat="1" applyFont="1" applyBorder="1" applyAlignment="1">
      <alignment horizontal="right" vertical="center"/>
    </xf>
    <xf numFmtId="170" fontId="3" fillId="0" borderId="0" xfId="2" applyNumberFormat="1" applyFont="1" applyAlignment="1">
      <alignment horizontal="right" vertical="center"/>
    </xf>
    <xf numFmtId="170" fontId="5" fillId="0" borderId="0" xfId="0" applyNumberFormat="1" applyFont="1" applyAlignment="1">
      <alignment vertical="center"/>
    </xf>
    <xf numFmtId="170" fontId="5" fillId="0" borderId="0" xfId="0" applyNumberFormat="1" applyFont="1"/>
    <xf numFmtId="170" fontId="5" fillId="0" borderId="0" xfId="0" applyNumberFormat="1" applyFont="1" applyAlignment="1">
      <alignment horizontal="right" vertical="center"/>
    </xf>
    <xf numFmtId="170" fontId="4" fillId="3" borderId="2" xfId="0" applyNumberFormat="1" applyFont="1" applyFill="1" applyBorder="1" applyAlignment="1">
      <alignment horizontal="right" vertical="center"/>
    </xf>
    <xf numFmtId="170" fontId="4" fillId="3" borderId="6" xfId="0" applyNumberFormat="1" applyFont="1" applyFill="1" applyBorder="1" applyAlignment="1">
      <alignment horizontal="right" vertical="center"/>
    </xf>
    <xf numFmtId="170" fontId="0" fillId="0" borderId="0" xfId="0" applyNumberFormat="1"/>
    <xf numFmtId="170" fontId="5" fillId="0" borderId="8" xfId="2" applyNumberFormat="1" applyFont="1" applyBorder="1" applyAlignment="1">
      <alignment horizontal="right" vertical="center"/>
    </xf>
    <xf numFmtId="170" fontId="5" fillId="0" borderId="9" xfId="2" applyNumberFormat="1" applyFont="1" applyBorder="1" applyAlignment="1">
      <alignment horizontal="right" vertical="center"/>
    </xf>
    <xf numFmtId="170" fontId="5" fillId="0" borderId="4" xfId="2" applyNumberFormat="1" applyFont="1" applyBorder="1" applyAlignment="1">
      <alignment horizontal="right" vertical="center"/>
    </xf>
    <xf numFmtId="170" fontId="6" fillId="0" borderId="1" xfId="2" applyNumberFormat="1" applyFont="1" applyBorder="1" applyAlignment="1">
      <alignment horizontal="right" vertical="center"/>
    </xf>
    <xf numFmtId="170" fontId="6" fillId="0" borderId="11" xfId="2" applyNumberFormat="1" applyFont="1" applyBorder="1" applyAlignment="1">
      <alignment horizontal="right" vertical="center"/>
    </xf>
    <xf numFmtId="170" fontId="3" fillId="0" borderId="4" xfId="2" applyNumberFormat="1" applyFont="1" applyBorder="1" applyAlignment="1">
      <alignment horizontal="right" vertical="center"/>
    </xf>
    <xf numFmtId="170" fontId="6" fillId="0" borderId="2" xfId="0" applyNumberFormat="1" applyFont="1" applyBorder="1" applyAlignment="1">
      <alignment horizontal="right" vertical="center"/>
    </xf>
    <xf numFmtId="170" fontId="6" fillId="0" borderId="6" xfId="0" applyNumberFormat="1" applyFont="1" applyBorder="1" applyAlignment="1">
      <alignment horizontal="right" vertical="center"/>
    </xf>
    <xf numFmtId="170" fontId="3" fillId="0" borderId="9" xfId="2" applyNumberFormat="1" applyFont="1" applyBorder="1" applyAlignment="1">
      <alignment horizontal="right" vertical="center"/>
    </xf>
    <xf numFmtId="170" fontId="5" fillId="0" borderId="1" xfId="2" applyNumberFormat="1" applyFont="1" applyBorder="1" applyAlignment="1">
      <alignment horizontal="right" vertical="center"/>
    </xf>
    <xf numFmtId="170" fontId="3" fillId="0" borderId="11" xfId="2" applyNumberFormat="1" applyFont="1" applyBorder="1" applyAlignment="1">
      <alignment horizontal="right" vertical="center"/>
    </xf>
    <xf numFmtId="170" fontId="5" fillId="0" borderId="11" xfId="2" applyNumberFormat="1" applyFont="1" applyBorder="1" applyAlignment="1">
      <alignment horizontal="right" vertical="center"/>
    </xf>
    <xf numFmtId="0" fontId="11" fillId="0" borderId="25" xfId="0" applyFont="1" applyFill="1" applyBorder="1"/>
    <xf numFmtId="0" fontId="5" fillId="13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170" fontId="5" fillId="13" borderId="8" xfId="2" applyNumberFormat="1" applyFont="1" applyFill="1" applyBorder="1" applyAlignment="1">
      <alignment horizontal="right" vertical="center"/>
    </xf>
    <xf numFmtId="170" fontId="5" fillId="13" borderId="9" xfId="2" applyNumberFormat="1" applyFont="1" applyFill="1" applyBorder="1" applyAlignment="1">
      <alignment horizontal="right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vertical="center"/>
    </xf>
    <xf numFmtId="170" fontId="5" fillId="13" borderId="0" xfId="2" applyNumberFormat="1" applyFont="1" applyFill="1" applyBorder="1" applyAlignment="1">
      <alignment horizontal="right" vertical="center"/>
    </xf>
    <xf numFmtId="170" fontId="5" fillId="13" borderId="4" xfId="2" applyNumberFormat="1" applyFont="1" applyFill="1" applyBorder="1" applyAlignment="1">
      <alignment horizontal="right" vertical="center"/>
    </xf>
    <xf numFmtId="0" fontId="6" fillId="13" borderId="5" xfId="0" applyFont="1" applyFill="1" applyBorder="1" applyAlignment="1">
      <alignment vertical="center"/>
    </xf>
    <xf numFmtId="0" fontId="6" fillId="13" borderId="2" xfId="0" applyFont="1" applyFill="1" applyBorder="1" applyAlignment="1">
      <alignment vertical="center"/>
    </xf>
    <xf numFmtId="170" fontId="6" fillId="13" borderId="2" xfId="2" applyNumberFormat="1" applyFont="1" applyFill="1" applyBorder="1" applyAlignment="1">
      <alignment horizontal="right" vertical="center"/>
    </xf>
    <xf numFmtId="170" fontId="6" fillId="13" borderId="6" xfId="2" applyNumberFormat="1" applyFont="1" applyFill="1" applyBorder="1" applyAlignment="1">
      <alignment horizontal="right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170" fontId="6" fillId="13" borderId="1" xfId="2" applyNumberFormat="1" applyFont="1" applyFill="1" applyBorder="1" applyAlignment="1">
      <alignment horizontal="right" vertical="center"/>
    </xf>
    <xf numFmtId="170" fontId="6" fillId="13" borderId="11" xfId="2" applyNumberFormat="1" applyFont="1" applyFill="1" applyBorder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0" fontId="3" fillId="0" borderId="8" xfId="0" applyNumberFormat="1" applyFont="1" applyBorder="1" applyAlignment="1">
      <alignment horizontal="right" vertical="center"/>
    </xf>
    <xf numFmtId="170" fontId="3" fillId="0" borderId="1" xfId="0" applyNumberFormat="1" applyFont="1" applyBorder="1" applyAlignment="1">
      <alignment horizontal="right" vertical="center"/>
    </xf>
    <xf numFmtId="170" fontId="3" fillId="0" borderId="2" xfId="0" applyNumberFormat="1" applyFont="1" applyBorder="1" applyAlignment="1">
      <alignment horizontal="right" vertical="center"/>
    </xf>
    <xf numFmtId="170" fontId="5" fillId="0" borderId="2" xfId="2" applyNumberFormat="1" applyFont="1" applyBorder="1" applyAlignment="1">
      <alignment horizontal="right" vertical="center"/>
    </xf>
    <xf numFmtId="170" fontId="5" fillId="0" borderId="6" xfId="2" applyNumberFormat="1" applyFont="1" applyBorder="1" applyAlignment="1">
      <alignment horizontal="right" vertical="center"/>
    </xf>
    <xf numFmtId="170" fontId="5" fillId="0" borderId="0" xfId="0" applyNumberFormat="1" applyFont="1" applyBorder="1" applyAlignment="1">
      <alignment horizontal="right" vertical="center"/>
    </xf>
    <xf numFmtId="170" fontId="3" fillId="0" borderId="4" xfId="0" applyNumberFormat="1" applyFont="1" applyBorder="1" applyAlignment="1">
      <alignment horizontal="right" vertical="center"/>
    </xf>
    <xf numFmtId="170" fontId="5" fillId="0" borderId="1" xfId="0" applyNumberFormat="1" applyFont="1" applyBorder="1" applyAlignment="1">
      <alignment horizontal="right" vertical="center"/>
    </xf>
    <xf numFmtId="170" fontId="3" fillId="0" borderId="9" xfId="0" applyNumberFormat="1" applyFont="1" applyBorder="1" applyAlignment="1">
      <alignment vertical="center"/>
    </xf>
    <xf numFmtId="170" fontId="3" fillId="0" borderId="4" xfId="0" applyNumberFormat="1" applyFont="1" applyBorder="1" applyAlignment="1">
      <alignment vertical="center"/>
    </xf>
    <xf numFmtId="170" fontId="3" fillId="0" borderId="11" xfId="0" applyNumberFormat="1" applyFont="1" applyBorder="1" applyAlignment="1">
      <alignment vertical="center"/>
    </xf>
    <xf numFmtId="170" fontId="4" fillId="2" borderId="2" xfId="0" applyNumberFormat="1" applyFont="1" applyFill="1" applyBorder="1" applyAlignment="1">
      <alignment vertical="center"/>
    </xf>
    <xf numFmtId="170" fontId="4" fillId="2" borderId="6" xfId="0" applyNumberFormat="1" applyFont="1" applyFill="1" applyBorder="1" applyAlignment="1">
      <alignment vertical="center"/>
    </xf>
    <xf numFmtId="170" fontId="3" fillId="0" borderId="9" xfId="0" applyNumberFormat="1" applyFont="1" applyBorder="1" applyAlignment="1">
      <alignment horizontal="right" vertical="center"/>
    </xf>
    <xf numFmtId="170" fontId="3" fillId="0" borderId="1" xfId="0" applyNumberFormat="1" applyFont="1" applyBorder="1" applyAlignment="1">
      <alignment vertical="center"/>
    </xf>
    <xf numFmtId="170" fontId="3" fillId="0" borderId="11" xfId="0" applyNumberFormat="1" applyFont="1" applyBorder="1" applyAlignment="1">
      <alignment horizontal="right" vertical="center"/>
    </xf>
    <xf numFmtId="170" fontId="4" fillId="0" borderId="2" xfId="0" applyNumberFormat="1" applyFont="1" applyBorder="1" applyAlignment="1">
      <alignment vertical="center"/>
    </xf>
    <xf numFmtId="170" fontId="4" fillId="0" borderId="6" xfId="0" applyNumberFormat="1" applyFont="1" applyBorder="1" applyAlignment="1">
      <alignment vertical="center"/>
    </xf>
    <xf numFmtId="170" fontId="4" fillId="2" borderId="2" xfId="0" applyNumberFormat="1" applyFont="1" applyFill="1" applyBorder="1" applyAlignment="1">
      <alignment horizontal="right" vertical="center"/>
    </xf>
    <xf numFmtId="170" fontId="4" fillId="2" borderId="6" xfId="0" applyNumberFormat="1" applyFont="1" applyFill="1" applyBorder="1" applyAlignment="1">
      <alignment horizontal="right" vertical="center"/>
    </xf>
    <xf numFmtId="0" fontId="7" fillId="0" borderId="0" xfId="0" applyFont="1"/>
    <xf numFmtId="170" fontId="7" fillId="7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70" fontId="5" fillId="0" borderId="8" xfId="0" applyNumberFormat="1" applyFont="1" applyFill="1" applyBorder="1" applyAlignment="1">
      <alignment horizontal="right" vertical="center"/>
    </xf>
    <xf numFmtId="170" fontId="3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170" fontId="5" fillId="0" borderId="1" xfId="0" applyNumberFormat="1" applyFont="1" applyFill="1" applyBorder="1" applyAlignment="1">
      <alignment horizontal="right" vertical="center"/>
    </xf>
    <xf numFmtId="170" fontId="3" fillId="0" borderId="11" xfId="0" applyNumberFormat="1" applyFont="1" applyFill="1" applyBorder="1" applyAlignment="1">
      <alignment horizontal="right" vertical="center"/>
    </xf>
    <xf numFmtId="170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70" fontId="3" fillId="0" borderId="4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8" fillId="0" borderId="4" xfId="0" applyNumberFormat="1" applyFont="1" applyFill="1" applyBorder="1" applyAlignment="1">
      <alignment horizontal="right" vertical="center"/>
    </xf>
    <xf numFmtId="170" fontId="3" fillId="0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0" fontId="4" fillId="0" borderId="2" xfId="0" applyNumberFormat="1" applyFont="1" applyFill="1" applyBorder="1" applyAlignment="1">
      <alignment horizontal="right" vertical="center"/>
    </xf>
    <xf numFmtId="170" fontId="4" fillId="0" borderId="2" xfId="2" applyNumberFormat="1" applyFont="1" applyBorder="1" applyAlignment="1">
      <alignment horizontal="right" vertical="center" wrapText="1"/>
    </xf>
    <xf numFmtId="170" fontId="4" fillId="0" borderId="2" xfId="2" applyNumberFormat="1" applyFont="1" applyBorder="1" applyAlignment="1">
      <alignment horizontal="right" vertical="center"/>
    </xf>
    <xf numFmtId="170" fontId="4" fillId="0" borderId="6" xfId="2" applyNumberFormat="1" applyFont="1" applyBorder="1" applyAlignment="1">
      <alignment horizontal="right" vertical="center"/>
    </xf>
    <xf numFmtId="170" fontId="3" fillId="0" borderId="0" xfId="2" applyNumberFormat="1" applyFont="1" applyBorder="1" applyAlignment="1">
      <alignment horizontal="right" vertical="center"/>
    </xf>
    <xf numFmtId="170" fontId="5" fillId="0" borderId="0" xfId="2" applyNumberFormat="1" applyFont="1" applyBorder="1"/>
    <xf numFmtId="0" fontId="2" fillId="13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27" fillId="13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3" fillId="13" borderId="0" xfId="0" applyFont="1" applyFill="1" applyAlignment="1">
      <alignment vertical="center"/>
    </xf>
    <xf numFmtId="170" fontId="5" fillId="13" borderId="0" xfId="0" applyNumberFormat="1" applyFont="1" applyFill="1" applyAlignment="1">
      <alignment horizontal="right" vertical="center"/>
    </xf>
    <xf numFmtId="0" fontId="4" fillId="13" borderId="2" xfId="0" applyFont="1" applyFill="1" applyBorder="1" applyAlignment="1">
      <alignment vertical="center"/>
    </xf>
    <xf numFmtId="170" fontId="4" fillId="13" borderId="2" xfId="0" applyNumberFormat="1" applyFont="1" applyFill="1" applyBorder="1" applyAlignment="1">
      <alignment horizontal="right" vertical="center"/>
    </xf>
    <xf numFmtId="0" fontId="28" fillId="13" borderId="0" xfId="0" applyFont="1" applyFill="1" applyAlignment="1">
      <alignment vertical="center"/>
    </xf>
    <xf numFmtId="170" fontId="28" fillId="13" borderId="0" xfId="0" applyNumberFormat="1" applyFont="1" applyFill="1" applyAlignment="1">
      <alignment vertical="center"/>
    </xf>
    <xf numFmtId="170" fontId="3" fillId="13" borderId="0" xfId="0" applyNumberFormat="1" applyFont="1" applyFill="1" applyAlignment="1">
      <alignment horizontal="right" vertical="center"/>
    </xf>
    <xf numFmtId="0" fontId="5" fillId="13" borderId="4" xfId="0" applyFont="1" applyFill="1" applyBorder="1" applyAlignment="1">
      <alignment horizontal="right" vertical="center"/>
    </xf>
    <xf numFmtId="170" fontId="5" fillId="13" borderId="4" xfId="2" applyNumberFormat="1" applyFont="1" applyFill="1" applyBorder="1" applyAlignment="1">
      <alignment vertical="center"/>
    </xf>
    <xf numFmtId="170" fontId="6" fillId="13" borderId="16" xfId="0" applyNumberFormat="1" applyFont="1" applyFill="1" applyBorder="1" applyAlignment="1">
      <alignment horizontal="right" vertical="center"/>
    </xf>
    <xf numFmtId="170" fontId="6" fillId="13" borderId="4" xfId="0" applyNumberFormat="1" applyFont="1" applyFill="1" applyBorder="1" applyAlignment="1">
      <alignment horizontal="right" vertical="center"/>
    </xf>
    <xf numFmtId="170" fontId="5" fillId="13" borderId="4" xfId="0" applyNumberFormat="1" applyFont="1" applyFill="1" applyBorder="1" applyAlignment="1">
      <alignment horizontal="right" vertical="center"/>
    </xf>
    <xf numFmtId="170" fontId="5" fillId="13" borderId="11" xfId="2" applyNumberFormat="1" applyFont="1" applyFill="1" applyBorder="1" applyAlignment="1">
      <alignment vertical="center"/>
    </xf>
    <xf numFmtId="170" fontId="6" fillId="13" borderId="31" xfId="0" applyNumberFormat="1" applyFont="1" applyFill="1" applyBorder="1" applyAlignment="1">
      <alignment horizontal="right" vertical="center"/>
    </xf>
    <xf numFmtId="170" fontId="5" fillId="13" borderId="11" xfId="0" applyNumberFormat="1" applyFont="1" applyFill="1" applyBorder="1" applyAlignment="1">
      <alignment horizontal="right" vertical="center"/>
    </xf>
    <xf numFmtId="170" fontId="6" fillId="13" borderId="6" xfId="0" applyNumberFormat="1" applyFont="1" applyFill="1" applyBorder="1" applyAlignment="1">
      <alignment horizontal="right" vertical="center"/>
    </xf>
    <xf numFmtId="14" fontId="10" fillId="5" borderId="22" xfId="0" applyNumberFormat="1" applyFont="1" applyFill="1" applyBorder="1" applyAlignment="1">
      <alignment horizontal="center" vertical="center" wrapText="1"/>
    </xf>
    <xf numFmtId="49" fontId="10" fillId="5" borderId="22" xfId="0" applyNumberFormat="1" applyFont="1" applyFill="1" applyBorder="1" applyAlignment="1">
      <alignment horizontal="center" vertical="center" wrapText="1"/>
    </xf>
    <xf numFmtId="49" fontId="10" fillId="5" borderId="24" xfId="0" applyNumberFormat="1" applyFont="1" applyFill="1" applyBorder="1" applyAlignment="1">
      <alignment vertical="center" wrapText="1"/>
    </xf>
    <xf numFmtId="14" fontId="10" fillId="5" borderId="24" xfId="0" applyNumberFormat="1" applyFont="1" applyFill="1" applyBorder="1" applyAlignment="1">
      <alignment vertical="center" wrapText="1"/>
    </xf>
    <xf numFmtId="170" fontId="5" fillId="0" borderId="2" xfId="0" applyNumberFormat="1" applyFont="1" applyFill="1" applyBorder="1" applyAlignment="1">
      <alignment horizontal="right" vertical="center"/>
    </xf>
    <xf numFmtId="170" fontId="21" fillId="0" borderId="8" xfId="2" applyNumberFormat="1" applyFont="1" applyBorder="1" applyAlignment="1">
      <alignment vertical="center"/>
    </xf>
    <xf numFmtId="170" fontId="21" fillId="0" borderId="9" xfId="2" applyNumberFormat="1" applyFont="1" applyBorder="1" applyAlignment="1">
      <alignment vertical="center"/>
    </xf>
    <xf numFmtId="170" fontId="21" fillId="0" borderId="0" xfId="2" applyNumberFormat="1" applyFont="1" applyBorder="1" applyAlignment="1">
      <alignment vertical="center"/>
    </xf>
    <xf numFmtId="170" fontId="21" fillId="0" borderId="4" xfId="2" applyNumberFormat="1" applyFont="1" applyBorder="1" applyAlignment="1">
      <alignment vertical="center"/>
    </xf>
    <xf numFmtId="170" fontId="21" fillId="0" borderId="2" xfId="2" applyNumberFormat="1" applyFont="1" applyBorder="1" applyAlignment="1">
      <alignment vertical="center"/>
    </xf>
    <xf numFmtId="170" fontId="21" fillId="0" borderId="6" xfId="2" applyNumberFormat="1" applyFont="1" applyBorder="1" applyAlignment="1">
      <alignment vertical="center"/>
    </xf>
    <xf numFmtId="170" fontId="21" fillId="0" borderId="1" xfId="2" applyNumberFormat="1" applyFont="1" applyBorder="1" applyAlignment="1">
      <alignment vertical="center"/>
    </xf>
    <xf numFmtId="170" fontId="21" fillId="0" borderId="11" xfId="2" applyNumberFormat="1" applyFont="1" applyBorder="1" applyAlignment="1">
      <alignment vertical="center"/>
    </xf>
    <xf numFmtId="170" fontId="29" fillId="0" borderId="2" xfId="2" applyNumberFormat="1" applyFont="1" applyBorder="1" applyAlignment="1">
      <alignment vertical="center"/>
    </xf>
    <xf numFmtId="170" fontId="29" fillId="0" borderId="6" xfId="2" applyNumberFormat="1" applyFont="1" applyBorder="1" applyAlignment="1">
      <alignment vertical="center"/>
    </xf>
    <xf numFmtId="170" fontId="4" fillId="0" borderId="9" xfId="0" applyNumberFormat="1" applyFont="1" applyBorder="1" applyAlignment="1">
      <alignment horizontal="center" vertical="center"/>
    </xf>
    <xf numFmtId="166" fontId="11" fillId="15" borderId="27" xfId="0" applyNumberFormat="1" applyFont="1" applyFill="1" applyBorder="1"/>
    <xf numFmtId="0" fontId="29" fillId="0" borderId="32" xfId="4" quotePrefix="1" applyFont="1" applyFill="1" applyBorder="1" applyAlignment="1">
      <alignment horizontal="left"/>
    </xf>
    <xf numFmtId="0" fontId="29" fillId="0" borderId="0" xfId="4" quotePrefix="1" applyFont="1" applyFill="1" applyAlignment="1">
      <alignment horizontal="left"/>
    </xf>
    <xf numFmtId="0" fontId="30" fillId="12" borderId="20" xfId="3" applyFont="1" applyFill="1" applyBorder="1" applyAlignment="1">
      <alignment horizontal="left" vertical="top" wrapText="1"/>
    </xf>
    <xf numFmtId="16" fontId="31" fillId="13" borderId="20" xfId="3" applyNumberFormat="1" applyFont="1" applyFill="1" applyBorder="1" applyAlignment="1">
      <alignment horizontal="center" vertical="center" wrapText="1"/>
    </xf>
    <xf numFmtId="0" fontId="21" fillId="12" borderId="0" xfId="3" applyFont="1" applyFill="1" applyBorder="1"/>
    <xf numFmtId="0" fontId="21" fillId="0" borderId="0" xfId="4" applyFont="1"/>
    <xf numFmtId="0" fontId="31" fillId="13" borderId="0" xfId="3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horizontal="center" vertical="center"/>
    </xf>
    <xf numFmtId="0" fontId="29" fillId="0" borderId="35" xfId="4" applyFont="1" applyFill="1" applyBorder="1" applyAlignment="1" applyProtection="1">
      <alignment horizontal="left" vertical="center"/>
    </xf>
    <xf numFmtId="170" fontId="29" fillId="0" borderId="35" xfId="4" applyNumberFormat="1" applyFont="1" applyFill="1" applyBorder="1" applyAlignment="1" applyProtection="1">
      <alignment horizontal="right" vertical="center"/>
    </xf>
    <xf numFmtId="0" fontId="21" fillId="0" borderId="0" xfId="4" applyFont="1" applyFill="1" applyBorder="1" applyAlignment="1" applyProtection="1">
      <alignment horizontal="left"/>
    </xf>
    <xf numFmtId="170" fontId="21" fillId="0" borderId="0" xfId="4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 applyProtection="1">
      <alignment horizontal="left"/>
    </xf>
    <xf numFmtId="170" fontId="32" fillId="0" borderId="0" xfId="5" applyNumberFormat="1" applyFont="1" applyFill="1" applyBorder="1" applyAlignment="1">
      <alignment horizontal="right" wrapText="1"/>
    </xf>
    <xf numFmtId="0" fontId="21" fillId="0" borderId="0" xfId="4" applyFont="1" applyBorder="1" applyAlignment="1" applyProtection="1">
      <alignment horizontal="left"/>
    </xf>
    <xf numFmtId="0" fontId="5" fillId="0" borderId="0" xfId="4" applyFont="1" applyFill="1"/>
    <xf numFmtId="0" fontId="5" fillId="0" borderId="0" xfId="4" applyFont="1" applyBorder="1" applyAlignment="1" applyProtection="1">
      <alignment horizontal="left"/>
    </xf>
    <xf numFmtId="0" fontId="33" fillId="0" borderId="35" xfId="4" quotePrefix="1" applyFont="1" applyFill="1" applyBorder="1" applyAlignment="1" applyProtection="1">
      <alignment horizontal="left" wrapText="1"/>
    </xf>
    <xf numFmtId="0" fontId="29" fillId="0" borderId="35" xfId="4" quotePrefix="1" applyFont="1" applyFill="1" applyBorder="1" applyAlignment="1" applyProtection="1">
      <alignment horizontal="left"/>
    </xf>
    <xf numFmtId="170" fontId="29" fillId="0" borderId="35" xfId="4" quotePrefix="1" applyNumberFormat="1" applyFont="1" applyFill="1" applyBorder="1" applyAlignment="1" applyProtection="1">
      <alignment horizontal="right"/>
    </xf>
    <xf numFmtId="0" fontId="21" fillId="0" borderId="0" xfId="4" quotePrefix="1" applyFont="1" applyFill="1" applyBorder="1" applyAlignment="1" applyProtection="1">
      <alignment horizontal="left"/>
    </xf>
    <xf numFmtId="170" fontId="21" fillId="0" borderId="0" xfId="4" applyNumberFormat="1" applyFont="1"/>
    <xf numFmtId="0" fontId="32" fillId="12" borderId="0" xfId="4" applyFont="1" applyFill="1" applyAlignment="1">
      <alignment horizontal="justify" wrapText="1"/>
    </xf>
    <xf numFmtId="0" fontId="29" fillId="0" borderId="35" xfId="4" applyFont="1" applyFill="1" applyBorder="1" applyAlignment="1">
      <alignment wrapText="1"/>
    </xf>
    <xf numFmtId="170" fontId="21" fillId="0" borderId="0" xfId="4" quotePrefix="1" applyNumberFormat="1" applyFont="1" applyFill="1" applyBorder="1" applyAlignment="1" applyProtection="1">
      <alignment horizontal="right" vertical="center"/>
    </xf>
    <xf numFmtId="0" fontId="31" fillId="12" borderId="2" xfId="4" applyFont="1" applyFill="1" applyBorder="1" applyAlignment="1">
      <alignment horizontal="justify" wrapText="1"/>
    </xf>
    <xf numFmtId="170" fontId="31" fillId="12" borderId="2" xfId="5" applyNumberFormat="1" applyFont="1" applyFill="1" applyBorder="1" applyAlignment="1">
      <alignment horizontal="right" wrapText="1"/>
    </xf>
    <xf numFmtId="164" fontId="5" fillId="0" borderId="0" xfId="2" applyFont="1"/>
    <xf numFmtId="3" fontId="11" fillId="0" borderId="0" xfId="0" applyNumberFormat="1" applyFont="1"/>
    <xf numFmtId="0" fontId="0" fillId="0" borderId="0" xfId="0" quotePrefix="1"/>
    <xf numFmtId="166" fontId="0" fillId="7" borderId="0" xfId="0" applyNumberFormat="1" applyFill="1"/>
    <xf numFmtId="0" fontId="5" fillId="7" borderId="0" xfId="0" applyFont="1" applyFill="1"/>
    <xf numFmtId="0" fontId="29" fillId="7" borderId="0" xfId="4" quotePrefix="1" applyFont="1" applyFill="1" applyAlignment="1">
      <alignment horizontal="left"/>
    </xf>
    <xf numFmtId="16" fontId="31" fillId="7" borderId="20" xfId="3" applyNumberFormat="1" applyFont="1" applyFill="1" applyBorder="1" applyAlignment="1">
      <alignment horizontal="center" vertical="center" wrapText="1"/>
    </xf>
    <xf numFmtId="0" fontId="29" fillId="7" borderId="0" xfId="4" applyFont="1" applyFill="1" applyBorder="1" applyAlignment="1">
      <alignment horizontal="center" vertical="center"/>
    </xf>
    <xf numFmtId="170" fontId="29" fillId="7" borderId="35" xfId="4" applyNumberFormat="1" applyFont="1" applyFill="1" applyBorder="1" applyAlignment="1" applyProtection="1">
      <alignment horizontal="right" vertical="center"/>
    </xf>
    <xf numFmtId="170" fontId="21" fillId="7" borderId="0" xfId="4" applyNumberFormat="1" applyFont="1" applyFill="1" applyBorder="1" applyAlignment="1" applyProtection="1">
      <alignment horizontal="right"/>
    </xf>
    <xf numFmtId="170" fontId="32" fillId="7" borderId="0" xfId="5" applyNumberFormat="1" applyFont="1" applyFill="1" applyBorder="1" applyAlignment="1">
      <alignment horizontal="right" wrapText="1"/>
    </xf>
    <xf numFmtId="170" fontId="21" fillId="7" borderId="0" xfId="4" applyNumberFormat="1" applyFont="1" applyFill="1"/>
    <xf numFmtId="170" fontId="29" fillId="7" borderId="35" xfId="4" quotePrefix="1" applyNumberFormat="1" applyFont="1" applyFill="1" applyBorder="1" applyAlignment="1" applyProtection="1">
      <alignment horizontal="right"/>
    </xf>
    <xf numFmtId="170" fontId="21" fillId="7" borderId="0" xfId="4" quotePrefix="1" applyNumberFormat="1" applyFont="1" applyFill="1" applyBorder="1" applyAlignment="1" applyProtection="1">
      <alignment horizontal="right" vertical="center"/>
    </xf>
    <xf numFmtId="170" fontId="31" fillId="7" borderId="2" xfId="5" applyNumberFormat="1" applyFont="1" applyFill="1" applyBorder="1" applyAlignment="1">
      <alignment horizontal="right" wrapText="1"/>
    </xf>
    <xf numFmtId="0" fontId="6" fillId="0" borderId="0" xfId="0" applyFont="1"/>
    <xf numFmtId="0" fontId="6" fillId="0" borderId="3" xfId="0" applyFont="1" applyBorder="1" applyAlignment="1">
      <alignment vertical="center"/>
    </xf>
    <xf numFmtId="170" fontId="29" fillId="0" borderId="0" xfId="2" applyNumberFormat="1" applyFont="1" applyBorder="1" applyAlignment="1">
      <alignment vertical="center"/>
    </xf>
    <xf numFmtId="170" fontId="29" fillId="0" borderId="4" xfId="2" applyNumberFormat="1" applyFont="1" applyBorder="1" applyAlignment="1">
      <alignment vertical="center"/>
    </xf>
    <xf numFmtId="14" fontId="31" fillId="13" borderId="20" xfId="3" applyNumberFormat="1" applyFont="1" applyFill="1" applyBorder="1" applyAlignment="1">
      <alignment horizontal="center" vertical="center" wrapText="1"/>
    </xf>
    <xf numFmtId="0" fontId="29" fillId="0" borderId="35" xfId="4" applyFont="1" applyFill="1" applyBorder="1" applyAlignment="1" applyProtection="1">
      <alignment horizontal="left" wrapText="1"/>
    </xf>
    <xf numFmtId="170" fontId="29" fillId="7" borderId="35" xfId="4" applyNumberFormat="1" applyFont="1" applyFill="1" applyBorder="1" applyAlignment="1" applyProtection="1">
      <alignment horizontal="right"/>
    </xf>
    <xf numFmtId="170" fontId="29" fillId="0" borderId="35" xfId="4" applyNumberFormat="1" applyFont="1" applyFill="1" applyBorder="1" applyAlignment="1" applyProtection="1">
      <alignment horizontal="right"/>
    </xf>
    <xf numFmtId="170" fontId="5" fillId="0" borderId="0" xfId="0" applyNumberFormat="1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8" xfId="0" applyFont="1" applyBorder="1"/>
    <xf numFmtId="0" fontId="5" fillId="0" borderId="0" xfId="0" applyFont="1" applyBorder="1"/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5" fillId="0" borderId="0" xfId="2" applyNumberFormat="1" applyFont="1"/>
    <xf numFmtId="0" fontId="5" fillId="0" borderId="0" xfId="0" applyFont="1" applyAlignment="1">
      <alignment horizontal="center"/>
    </xf>
    <xf numFmtId="14" fontId="4" fillId="2" borderId="1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165" fontId="3" fillId="0" borderId="4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70" fontId="3" fillId="0" borderId="0" xfId="2" applyNumberFormat="1" applyFont="1" applyBorder="1" applyAlignment="1">
      <alignment vertical="center"/>
    </xf>
    <xf numFmtId="170" fontId="3" fillId="0" borderId="4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0" fontId="3" fillId="0" borderId="1" xfId="2" applyNumberFormat="1" applyFont="1" applyBorder="1" applyAlignment="1">
      <alignment vertical="center"/>
    </xf>
    <xf numFmtId="170" fontId="3" fillId="0" borderId="11" xfId="2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0" fontId="4" fillId="0" borderId="15" xfId="2" applyNumberFormat="1" applyFont="1" applyBorder="1" applyAlignment="1">
      <alignment horizontal="right" vertical="center"/>
    </xf>
    <xf numFmtId="170" fontId="4" fillId="0" borderId="16" xfId="2" applyNumberFormat="1" applyFont="1" applyBorder="1" applyAlignment="1">
      <alignment horizontal="right" vertical="center"/>
    </xf>
    <xf numFmtId="170" fontId="5" fillId="0" borderId="0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3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0" fontId="4" fillId="0" borderId="18" xfId="2" applyNumberFormat="1" applyFont="1" applyBorder="1" applyAlignment="1">
      <alignment horizontal="right" vertical="center"/>
    </xf>
    <xf numFmtId="170" fontId="4" fillId="0" borderId="31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3" fillId="0" borderId="0" xfId="2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/>
    <xf numFmtId="170" fontId="5" fillId="0" borderId="8" xfId="2" applyNumberFormat="1" applyFont="1" applyBorder="1"/>
    <xf numFmtId="170" fontId="5" fillId="0" borderId="9" xfId="2" applyNumberFormat="1" applyFont="1" applyBorder="1"/>
    <xf numFmtId="170" fontId="4" fillId="0" borderId="2" xfId="2" applyNumberFormat="1" applyFont="1" applyBorder="1" applyAlignment="1">
      <alignment vertical="center"/>
    </xf>
    <xf numFmtId="170" fontId="4" fillId="0" borderId="6" xfId="2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0" fontId="4" fillId="0" borderId="0" xfId="2" applyNumberFormat="1" applyFont="1" applyBorder="1" applyAlignment="1">
      <alignment horizontal="right" vertical="center"/>
    </xf>
    <xf numFmtId="170" fontId="4" fillId="0" borderId="4" xfId="2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0" fontId="5" fillId="0" borderId="0" xfId="1" applyNumberFormat="1" applyFont="1"/>
    <xf numFmtId="0" fontId="34" fillId="0" borderId="0" xfId="0" applyFont="1"/>
    <xf numFmtId="170" fontId="5" fillId="0" borderId="15" xfId="2" applyNumberFormat="1" applyFont="1" applyBorder="1" applyAlignment="1">
      <alignment horizontal="right" vertical="center"/>
    </xf>
    <xf numFmtId="170" fontId="7" fillId="0" borderId="0" xfId="2" applyNumberFormat="1" applyFont="1"/>
    <xf numFmtId="164" fontId="7" fillId="0" borderId="0" xfId="2" applyFont="1"/>
    <xf numFmtId="14" fontId="6" fillId="0" borderId="2" xfId="0" applyNumberFormat="1" applyFont="1" applyBorder="1" applyAlignment="1">
      <alignment horizontal="right" vertical="center"/>
    </xf>
    <xf numFmtId="14" fontId="6" fillId="13" borderId="2" xfId="0" applyNumberFormat="1" applyFont="1" applyFill="1" applyBorder="1" applyAlignment="1">
      <alignment horizontal="center" vertical="center" wrapText="1"/>
    </xf>
    <xf numFmtId="14" fontId="6" fillId="13" borderId="6" xfId="0" applyNumberFormat="1" applyFont="1" applyFill="1" applyBorder="1" applyAlignment="1">
      <alignment horizontal="center" vertical="center" wrapText="1"/>
    </xf>
    <xf numFmtId="14" fontId="4" fillId="13" borderId="1" xfId="0" applyNumberFormat="1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left" vertical="center"/>
    </xf>
    <xf numFmtId="14" fontId="6" fillId="0" borderId="10" xfId="0" applyNumberFormat="1" applyFont="1" applyBorder="1" applyAlignment="1">
      <alignment horizontal="left" vertical="center"/>
    </xf>
    <xf numFmtId="170" fontId="5" fillId="0" borderId="6" xfId="0" applyNumberFormat="1" applyFont="1" applyFill="1" applyBorder="1" applyAlignment="1">
      <alignment horizontal="right" vertical="center"/>
    </xf>
    <xf numFmtId="170" fontId="3" fillId="0" borderId="6" xfId="0" applyNumberFormat="1" applyFont="1" applyBorder="1" applyAlignment="1">
      <alignment horizontal="right" vertical="center"/>
    </xf>
    <xf numFmtId="0" fontId="5" fillId="0" borderId="32" xfId="0" applyFont="1" applyBorder="1"/>
    <xf numFmtId="0" fontId="5" fillId="0" borderId="6" xfId="0" applyFont="1" applyBorder="1"/>
    <xf numFmtId="0" fontId="5" fillId="0" borderId="33" xfId="0" applyFont="1" applyBorder="1"/>
    <xf numFmtId="0" fontId="5" fillId="0" borderId="4" xfId="0" applyFont="1" applyBorder="1"/>
    <xf numFmtId="0" fontId="5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5" fillId="0" borderId="9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center" vertical="center"/>
    </xf>
    <xf numFmtId="171" fontId="5" fillId="0" borderId="11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0" borderId="8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right" vertical="center"/>
    </xf>
    <xf numFmtId="170" fontId="39" fillId="0" borderId="0" xfId="0" applyNumberFormat="1" applyFont="1" applyBorder="1" applyAlignment="1">
      <alignment horizontal="right" vertical="center"/>
    </xf>
    <xf numFmtId="170" fontId="36" fillId="0" borderId="2" xfId="0" applyNumberFormat="1" applyFont="1" applyBorder="1" applyAlignment="1">
      <alignment horizontal="right" vertical="center"/>
    </xf>
    <xf numFmtId="170" fontId="39" fillId="0" borderId="8" xfId="0" applyNumberFormat="1" applyFont="1" applyBorder="1" applyAlignment="1">
      <alignment horizontal="right" vertical="center"/>
    </xf>
    <xf numFmtId="170" fontId="39" fillId="0" borderId="1" xfId="0" applyNumberFormat="1" applyFont="1" applyBorder="1" applyAlignment="1">
      <alignment horizontal="right" vertical="center"/>
    </xf>
    <xf numFmtId="0" fontId="35" fillId="0" borderId="6" xfId="0" applyFont="1" applyBorder="1" applyAlignment="1">
      <alignment horizontal="right" vertical="center"/>
    </xf>
    <xf numFmtId="9" fontId="37" fillId="0" borderId="4" xfId="0" applyNumberFormat="1" applyFont="1" applyBorder="1" applyAlignment="1">
      <alignment horizontal="right" vertical="center"/>
    </xf>
    <xf numFmtId="9" fontId="35" fillId="0" borderId="6" xfId="0" applyNumberFormat="1" applyFont="1" applyBorder="1" applyAlignment="1">
      <alignment horizontal="right" vertical="center"/>
    </xf>
    <xf numFmtId="9" fontId="37" fillId="0" borderId="9" xfId="0" applyNumberFormat="1" applyFont="1" applyBorder="1" applyAlignment="1">
      <alignment horizontal="right" vertical="center"/>
    </xf>
    <xf numFmtId="9" fontId="37" fillId="0" borderId="11" xfId="0" applyNumberFormat="1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5" fillId="0" borderId="15" xfId="0" applyFont="1" applyBorder="1" applyAlignment="1">
      <alignment vertical="center"/>
    </xf>
    <xf numFmtId="3" fontId="35" fillId="0" borderId="15" xfId="0" applyNumberFormat="1" applyFont="1" applyBorder="1" applyAlignment="1">
      <alignment horizontal="center" vertical="center" wrapText="1"/>
    </xf>
    <xf numFmtId="3" fontId="37" fillId="0" borderId="15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170" fontId="35" fillId="0" borderId="0" xfId="2" applyNumberFormat="1" applyFont="1" applyBorder="1" applyAlignment="1">
      <alignment horizontal="right" vertical="center"/>
    </xf>
    <xf numFmtId="170" fontId="35" fillId="0" borderId="0" xfId="2" applyNumberFormat="1" applyFont="1"/>
    <xf numFmtId="0" fontId="41" fillId="0" borderId="0" xfId="0" applyFont="1" applyAlignment="1">
      <alignment vertical="center"/>
    </xf>
    <xf numFmtId="170" fontId="37" fillId="0" borderId="0" xfId="2" applyNumberFormat="1" applyFont="1" applyAlignment="1">
      <alignment vertical="center"/>
    </xf>
    <xf numFmtId="170" fontId="37" fillId="0" borderId="0" xfId="2" applyNumberFormat="1" applyFont="1"/>
    <xf numFmtId="170" fontId="37" fillId="0" borderId="0" xfId="2" applyNumberFormat="1" applyFont="1" applyAlignment="1">
      <alignment horizontal="right" vertical="center"/>
    </xf>
    <xf numFmtId="0" fontId="37" fillId="0" borderId="0" xfId="0" quotePrefix="1" applyFont="1" applyAlignment="1">
      <alignment vertical="center"/>
    </xf>
    <xf numFmtId="170" fontId="35" fillId="0" borderId="15" xfId="2" applyNumberFormat="1" applyFont="1" applyBorder="1" applyAlignment="1">
      <alignment horizontal="right" vertical="center"/>
    </xf>
    <xf numFmtId="0" fontId="41" fillId="0" borderId="0" xfId="0" quotePrefix="1" applyFont="1"/>
    <xf numFmtId="0" fontId="42" fillId="0" borderId="7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170" fontId="40" fillId="0" borderId="0" xfId="0" applyNumberFormat="1" applyFont="1" applyBorder="1" applyAlignment="1">
      <alignment horizontal="right" vertical="center"/>
    </xf>
    <xf numFmtId="170" fontId="40" fillId="0" borderId="4" xfId="0" applyNumberFormat="1" applyFont="1" applyBorder="1" applyAlignment="1">
      <alignment horizontal="right" vertical="center"/>
    </xf>
    <xf numFmtId="0" fontId="36" fillId="2" borderId="7" xfId="0" applyFont="1" applyFill="1" applyBorder="1" applyAlignment="1">
      <alignment vertical="center"/>
    </xf>
    <xf numFmtId="170" fontId="36" fillId="2" borderId="8" xfId="0" applyNumberFormat="1" applyFont="1" applyFill="1" applyBorder="1" applyAlignment="1">
      <alignment horizontal="right" vertical="center"/>
    </xf>
    <xf numFmtId="170" fontId="36" fillId="2" borderId="9" xfId="0" applyNumberFormat="1" applyFont="1" applyFill="1" applyBorder="1" applyAlignment="1">
      <alignment horizontal="right" vertical="center"/>
    </xf>
    <xf numFmtId="0" fontId="44" fillId="0" borderId="5" xfId="0" applyFont="1" applyBorder="1" applyAlignment="1">
      <alignment vertical="center"/>
    </xf>
    <xf numFmtId="10" fontId="45" fillId="0" borderId="2" xfId="0" applyNumberFormat="1" applyFont="1" applyBorder="1" applyAlignment="1">
      <alignment horizontal="right" vertical="center"/>
    </xf>
    <xf numFmtId="10" fontId="45" fillId="0" borderId="6" xfId="0" applyNumberFormat="1" applyFont="1" applyBorder="1" applyAlignment="1">
      <alignment horizontal="right" vertical="center"/>
    </xf>
    <xf numFmtId="0" fontId="36" fillId="2" borderId="10" xfId="0" applyFont="1" applyFill="1" applyBorder="1" applyAlignment="1">
      <alignment vertical="center"/>
    </xf>
    <xf numFmtId="170" fontId="36" fillId="2" borderId="2" xfId="2" applyNumberFormat="1" applyFont="1" applyFill="1" applyBorder="1" applyAlignment="1">
      <alignment horizontal="right" vertical="center"/>
    </xf>
    <xf numFmtId="170" fontId="36" fillId="2" borderId="11" xfId="2" applyNumberFormat="1" applyFont="1" applyFill="1" applyBorder="1" applyAlignment="1">
      <alignment horizontal="right" vertical="center"/>
    </xf>
    <xf numFmtId="0" fontId="44" fillId="0" borderId="10" xfId="0" applyFont="1" applyBorder="1" applyAlignment="1">
      <alignment vertical="center"/>
    </xf>
    <xf numFmtId="10" fontId="45" fillId="0" borderId="1" xfId="0" applyNumberFormat="1" applyFont="1" applyBorder="1" applyAlignment="1">
      <alignment horizontal="right" vertical="center"/>
    </xf>
    <xf numFmtId="10" fontId="45" fillId="0" borderId="11" xfId="0" applyNumberFormat="1" applyFont="1" applyBorder="1" applyAlignment="1">
      <alignment horizontal="right" vertical="center"/>
    </xf>
    <xf numFmtId="0" fontId="42" fillId="0" borderId="3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170" fontId="40" fillId="0" borderId="8" xfId="0" applyNumberFormat="1" applyFont="1" applyBorder="1" applyAlignment="1">
      <alignment horizontal="right" vertical="center"/>
    </xf>
    <xf numFmtId="170" fontId="40" fillId="0" borderId="9" xfId="0" applyNumberFormat="1" applyFont="1" applyBorder="1" applyAlignment="1">
      <alignment horizontal="right" vertical="center"/>
    </xf>
    <xf numFmtId="0" fontId="40" fillId="0" borderId="10" xfId="0" applyFont="1" applyBorder="1" applyAlignment="1">
      <alignment vertical="center"/>
    </xf>
    <xf numFmtId="170" fontId="40" fillId="0" borderId="1" xfId="0" applyNumberFormat="1" applyFont="1" applyBorder="1" applyAlignment="1">
      <alignment horizontal="right" vertical="center"/>
    </xf>
    <xf numFmtId="170" fontId="40" fillId="0" borderId="11" xfId="0" applyNumberFormat="1" applyFont="1" applyBorder="1" applyAlignment="1">
      <alignment horizontal="right" vertical="center"/>
    </xf>
    <xf numFmtId="0" fontId="39" fillId="0" borderId="7" xfId="0" applyFont="1" applyBorder="1" applyAlignment="1">
      <alignment vertical="center"/>
    </xf>
    <xf numFmtId="9" fontId="39" fillId="0" borderId="8" xfId="0" applyNumberFormat="1" applyFont="1" applyBorder="1" applyAlignment="1">
      <alignment horizontal="right" vertical="center"/>
    </xf>
    <xf numFmtId="9" fontId="39" fillId="0" borderId="9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vertical="center"/>
    </xf>
    <xf numFmtId="9" fontId="39" fillId="0" borderId="0" xfId="0" applyNumberFormat="1" applyFont="1" applyBorder="1" applyAlignment="1">
      <alignment horizontal="right" vertical="center"/>
    </xf>
    <xf numFmtId="9" fontId="39" fillId="0" borderId="4" xfId="0" applyNumberFormat="1" applyFont="1" applyBorder="1" applyAlignment="1">
      <alignment horizontal="right" vertical="center"/>
    </xf>
    <xf numFmtId="2" fontId="39" fillId="0" borderId="0" xfId="0" applyNumberFormat="1" applyFont="1" applyBorder="1" applyAlignment="1">
      <alignment horizontal="right" vertical="center"/>
    </xf>
    <xf numFmtId="2" fontId="40" fillId="0" borderId="4" xfId="0" applyNumberFormat="1" applyFont="1" applyBorder="1" applyAlignment="1">
      <alignment horizontal="right" vertical="center"/>
    </xf>
    <xf numFmtId="0" fontId="39" fillId="0" borderId="10" xfId="0" applyFont="1" applyBorder="1" applyAlignment="1">
      <alignment vertical="center"/>
    </xf>
    <xf numFmtId="2" fontId="39" fillId="0" borderId="1" xfId="0" applyNumberFormat="1" applyFont="1" applyBorder="1" applyAlignment="1">
      <alignment horizontal="right" vertical="center"/>
    </xf>
    <xf numFmtId="2" fontId="40" fillId="0" borderId="11" xfId="0" applyNumberFormat="1" applyFont="1" applyBorder="1" applyAlignment="1">
      <alignment horizontal="right" vertical="center"/>
    </xf>
    <xf numFmtId="0" fontId="36" fillId="2" borderId="6" xfId="0" applyFont="1" applyFill="1" applyBorder="1" applyAlignment="1">
      <alignment horizontal="center" vertical="center" wrapText="1"/>
    </xf>
    <xf numFmtId="14" fontId="36" fillId="2" borderId="32" xfId="0" applyNumberFormat="1" applyFont="1" applyFill="1" applyBorder="1" applyAlignment="1">
      <alignment horizontal="center" vertical="center" wrapText="1"/>
    </xf>
    <xf numFmtId="14" fontId="36" fillId="2" borderId="6" xfId="0" applyNumberFormat="1" applyFont="1" applyFill="1" applyBorder="1" applyAlignment="1">
      <alignment horizontal="center" vertical="center" wrapText="1"/>
    </xf>
    <xf numFmtId="0" fontId="36" fillId="13" borderId="3" xfId="0" applyFont="1" applyFill="1" applyBorder="1" applyAlignment="1">
      <alignment vertical="center"/>
    </xf>
    <xf numFmtId="0" fontId="40" fillId="13" borderId="0" xfId="0" applyFont="1" applyFill="1" applyBorder="1" applyAlignment="1">
      <alignment vertical="center"/>
    </xf>
    <xf numFmtId="0" fontId="40" fillId="13" borderId="25" xfId="0" applyFont="1" applyFill="1" applyBorder="1" applyAlignment="1">
      <alignment vertical="center"/>
    </xf>
    <xf numFmtId="0" fontId="40" fillId="13" borderId="25" xfId="0" applyFont="1" applyFill="1" applyBorder="1" applyAlignment="1">
      <alignment horizontal="right" vertical="center"/>
    </xf>
    <xf numFmtId="0" fontId="40" fillId="13" borderId="3" xfId="0" applyFont="1" applyFill="1" applyBorder="1" applyAlignment="1">
      <alignment vertical="center"/>
    </xf>
    <xf numFmtId="170" fontId="40" fillId="13" borderId="25" xfId="2" applyNumberFormat="1" applyFont="1" applyFill="1" applyBorder="1" applyAlignment="1">
      <alignment vertical="center"/>
    </xf>
    <xf numFmtId="0" fontId="40" fillId="13" borderId="0" xfId="0" applyFont="1" applyFill="1" applyBorder="1" applyAlignment="1">
      <alignment horizontal="center" vertical="center"/>
    </xf>
    <xf numFmtId="0" fontId="36" fillId="13" borderId="14" xfId="0" applyFont="1" applyFill="1" applyBorder="1" applyAlignment="1">
      <alignment vertical="center"/>
    </xf>
    <xf numFmtId="0" fontId="36" fillId="13" borderId="15" xfId="0" applyFont="1" applyFill="1" applyBorder="1" applyAlignment="1">
      <alignment horizontal="center" vertical="center"/>
    </xf>
    <xf numFmtId="170" fontId="36" fillId="13" borderId="43" xfId="0" applyNumberFormat="1" applyFont="1" applyFill="1" applyBorder="1" applyAlignment="1">
      <alignment horizontal="right" vertical="center"/>
    </xf>
    <xf numFmtId="170" fontId="40" fillId="13" borderId="25" xfId="0" applyNumberFormat="1" applyFont="1" applyFill="1" applyBorder="1" applyAlignment="1">
      <alignment vertical="center"/>
    </xf>
    <xf numFmtId="170" fontId="36" fillId="13" borderId="25" xfId="0" applyNumberFormat="1" applyFont="1" applyFill="1" applyBorder="1" applyAlignment="1">
      <alignment horizontal="right" vertical="center"/>
    </xf>
    <xf numFmtId="170" fontId="40" fillId="13" borderId="25" xfId="0" applyNumberFormat="1" applyFont="1" applyFill="1" applyBorder="1" applyAlignment="1">
      <alignment horizontal="right" vertical="center"/>
    </xf>
    <xf numFmtId="0" fontId="40" fillId="13" borderId="10" xfId="0" applyFont="1" applyFill="1" applyBorder="1" applyAlignment="1">
      <alignment vertical="center"/>
    </xf>
    <xf numFmtId="0" fontId="40" fillId="13" borderId="1" xfId="0" applyFont="1" applyFill="1" applyBorder="1" applyAlignment="1">
      <alignment vertical="center"/>
    </xf>
    <xf numFmtId="170" fontId="40" fillId="13" borderId="44" xfId="2" applyNumberFormat="1" applyFont="1" applyFill="1" applyBorder="1" applyAlignment="1">
      <alignment vertical="center"/>
    </xf>
    <xf numFmtId="0" fontId="36" fillId="13" borderId="30" xfId="0" applyFont="1" applyFill="1" applyBorder="1" applyAlignment="1">
      <alignment vertical="center"/>
    </xf>
    <xf numFmtId="0" fontId="40" fillId="13" borderId="18" xfId="0" applyFont="1" applyFill="1" applyBorder="1" applyAlignment="1">
      <alignment horizontal="center" vertical="center"/>
    </xf>
    <xf numFmtId="170" fontId="36" fillId="13" borderId="45" xfId="0" applyNumberFormat="1" applyFont="1" applyFill="1" applyBorder="1" applyAlignment="1">
      <alignment horizontal="right" vertical="center"/>
    </xf>
    <xf numFmtId="170" fontId="40" fillId="13" borderId="44" xfId="0" applyNumberFormat="1" applyFont="1" applyFill="1" applyBorder="1" applyAlignment="1">
      <alignment vertical="center"/>
    </xf>
    <xf numFmtId="170" fontId="40" fillId="13" borderId="44" xfId="0" applyNumberFormat="1" applyFont="1" applyFill="1" applyBorder="1" applyAlignment="1">
      <alignment horizontal="right" vertical="center"/>
    </xf>
    <xf numFmtId="0" fontId="36" fillId="13" borderId="5" xfId="0" applyFont="1" applyFill="1" applyBorder="1" applyAlignment="1">
      <alignment vertical="center"/>
    </xf>
    <xf numFmtId="0" fontId="36" fillId="13" borderId="2" xfId="0" applyFont="1" applyFill="1" applyBorder="1" applyAlignment="1">
      <alignment horizontal="center" vertical="center"/>
    </xf>
    <xf numFmtId="170" fontId="36" fillId="13" borderId="46" xfId="0" applyNumberFormat="1" applyFont="1" applyFill="1" applyBorder="1" applyAlignment="1">
      <alignment horizontal="right" vertical="center"/>
    </xf>
    <xf numFmtId="0" fontId="36" fillId="0" borderId="5" xfId="0" applyFont="1" applyBorder="1" applyAlignment="1">
      <alignment horizontal="center" vertical="center"/>
    </xf>
    <xf numFmtId="14" fontId="36" fillId="0" borderId="2" xfId="0" applyNumberFormat="1" applyFont="1" applyBorder="1" applyAlignment="1">
      <alignment horizontal="right" vertical="center"/>
    </xf>
    <xf numFmtId="0" fontId="36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170" fontId="39" fillId="0" borderId="2" xfId="0" applyNumberFormat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center" vertical="center" wrapText="1"/>
    </xf>
    <xf numFmtId="14" fontId="46" fillId="2" borderId="4" xfId="0" applyNumberFormat="1" applyFont="1" applyFill="1" applyBorder="1" applyAlignment="1">
      <alignment horizontal="center" vertical="center" wrapText="1"/>
    </xf>
    <xf numFmtId="0" fontId="46" fillId="0" borderId="7" xfId="0" applyFont="1" applyBorder="1" applyAlignment="1">
      <alignment vertical="center"/>
    </xf>
    <xf numFmtId="0" fontId="40" fillId="0" borderId="8" xfId="0" applyFont="1" applyBorder="1"/>
    <xf numFmtId="165" fontId="39" fillId="0" borderId="8" xfId="2" applyNumberFormat="1" applyFont="1" applyBorder="1" applyAlignment="1">
      <alignment horizontal="right" vertical="center"/>
    </xf>
    <xf numFmtId="165" fontId="39" fillId="0" borderId="9" xfId="2" applyNumberFormat="1" applyFont="1" applyBorder="1" applyAlignment="1">
      <alignment horizontal="right" vertical="center"/>
    </xf>
    <xf numFmtId="0" fontId="40" fillId="0" borderId="0" xfId="0" applyFont="1" applyBorder="1"/>
    <xf numFmtId="170" fontId="47" fillId="0" borderId="0" xfId="2" applyNumberFormat="1" applyFont="1" applyBorder="1" applyAlignment="1">
      <alignment vertical="center"/>
    </xf>
    <xf numFmtId="170" fontId="47" fillId="0" borderId="4" xfId="2" applyNumberFormat="1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170" fontId="46" fillId="0" borderId="2" xfId="2" applyNumberFormat="1" applyFont="1" applyBorder="1" applyAlignment="1">
      <alignment horizontal="right" vertical="center"/>
    </xf>
    <xf numFmtId="170" fontId="46" fillId="0" borderId="6" xfId="2" applyNumberFormat="1" applyFont="1" applyBorder="1" applyAlignment="1">
      <alignment horizontal="right" vertical="center"/>
    </xf>
    <xf numFmtId="0" fontId="46" fillId="0" borderId="3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170" fontId="39" fillId="0" borderId="0" xfId="2" applyNumberFormat="1" applyFont="1" applyBorder="1" applyAlignment="1">
      <alignment horizontal="right" vertical="center"/>
    </xf>
    <xf numFmtId="170" fontId="39" fillId="0" borderId="4" xfId="2" applyNumberFormat="1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46" fillId="0" borderId="2" xfId="0" applyFont="1" applyBorder="1" applyAlignment="1">
      <alignment vertical="center"/>
    </xf>
    <xf numFmtId="170" fontId="47" fillId="0" borderId="2" xfId="2" applyNumberFormat="1" applyFont="1" applyBorder="1" applyAlignment="1">
      <alignment vertical="center"/>
    </xf>
    <xf numFmtId="170" fontId="47" fillId="0" borderId="6" xfId="2" applyNumberFormat="1" applyFont="1" applyBorder="1" applyAlignment="1">
      <alignment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49" fontId="10" fillId="5" borderId="19" xfId="0" applyNumberFormat="1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36" fillId="2" borderId="12" xfId="0" applyNumberFormat="1" applyFont="1" applyFill="1" applyBorder="1" applyAlignment="1">
      <alignment horizontal="center" vertical="center" wrapText="1"/>
    </xf>
    <xf numFmtId="14" fontId="36" fillId="2" borderId="13" xfId="0" applyNumberFormat="1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/>
    </xf>
    <xf numFmtId="0" fontId="25" fillId="14" borderId="9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9">
    <cellStyle name="Comma_tabelle cap 20 2" xfId="8"/>
    <cellStyle name="Migliaia" xfId="2" builtinId="3"/>
    <cellStyle name="Migliaia 2 2" xfId="6"/>
    <cellStyle name="Migliaia 3 3" xfId="5"/>
    <cellStyle name="Normal_SHEET" xfId="7"/>
    <cellStyle name="Normale" xfId="0" builtinId="0"/>
    <cellStyle name="Normale 2 2" xfId="3"/>
    <cellStyle name="Normale 3" xfId="4"/>
    <cellStyle name="Percentuale" xfId="1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0</xdr:rowOff>
    </xdr:from>
    <xdr:to>
      <xdr:col>6</xdr:col>
      <xdr:colOff>457200</xdr:colOff>
      <xdr:row>4</xdr:row>
      <xdr:rowOff>123825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V="1">
          <a:off x="4543425" y="3905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12</xdr:col>
      <xdr:colOff>381000</xdr:colOff>
      <xdr:row>2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4543425" y="390525"/>
          <a:ext cx="478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2</xdr:row>
      <xdr:rowOff>0</xdr:rowOff>
    </xdr:from>
    <xdr:to>
      <xdr:col>12</xdr:col>
      <xdr:colOff>381000</xdr:colOff>
      <xdr:row>4</xdr:row>
      <xdr:rowOff>133350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324975" y="3905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6</xdr:col>
      <xdr:colOff>457200</xdr:colOff>
      <xdr:row>4</xdr:row>
      <xdr:rowOff>123825</xdr:rowOff>
    </xdr:to>
    <xdr:sp macro="" textlink="">
      <xdr:nvSpPr>
        <xdr:cNvPr id="5" name="Line 35"/>
        <xdr:cNvSpPr>
          <a:spLocks noChangeShapeType="1"/>
        </xdr:cNvSpPr>
      </xdr:nvSpPr>
      <xdr:spPr bwMode="auto">
        <a:xfrm flipV="1">
          <a:off x="4543425" y="3905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12</xdr:col>
      <xdr:colOff>381000</xdr:colOff>
      <xdr:row>2</xdr:row>
      <xdr:rowOff>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>
          <a:off x="4543425" y="390525"/>
          <a:ext cx="478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2</xdr:row>
      <xdr:rowOff>0</xdr:rowOff>
    </xdr:from>
    <xdr:to>
      <xdr:col>12</xdr:col>
      <xdr:colOff>381000</xdr:colOff>
      <xdr:row>4</xdr:row>
      <xdr:rowOff>133350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>
          <a:off x="9324975" y="3905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0</xdr:rowOff>
    </xdr:from>
    <xdr:to>
      <xdr:col>6</xdr:col>
      <xdr:colOff>457200</xdr:colOff>
      <xdr:row>4</xdr:row>
      <xdr:rowOff>123825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V="1">
          <a:off x="4543425" y="3905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12</xdr:col>
      <xdr:colOff>381000</xdr:colOff>
      <xdr:row>2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4543425" y="390525"/>
          <a:ext cx="478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2</xdr:row>
      <xdr:rowOff>0</xdr:rowOff>
    </xdr:from>
    <xdr:to>
      <xdr:col>12</xdr:col>
      <xdr:colOff>381000</xdr:colOff>
      <xdr:row>4</xdr:row>
      <xdr:rowOff>133350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324975" y="3905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6</xdr:col>
      <xdr:colOff>457200</xdr:colOff>
      <xdr:row>4</xdr:row>
      <xdr:rowOff>123825</xdr:rowOff>
    </xdr:to>
    <xdr:sp macro="" textlink="">
      <xdr:nvSpPr>
        <xdr:cNvPr id="5" name="Line 35"/>
        <xdr:cNvSpPr>
          <a:spLocks noChangeShapeType="1"/>
        </xdr:cNvSpPr>
      </xdr:nvSpPr>
      <xdr:spPr bwMode="auto">
        <a:xfrm flipV="1">
          <a:off x="4543425" y="3905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0</xdr:rowOff>
    </xdr:from>
    <xdr:to>
      <xdr:col>12</xdr:col>
      <xdr:colOff>381000</xdr:colOff>
      <xdr:row>2</xdr:row>
      <xdr:rowOff>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>
          <a:off x="4543425" y="390525"/>
          <a:ext cx="478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2</xdr:row>
      <xdr:rowOff>0</xdr:rowOff>
    </xdr:from>
    <xdr:to>
      <xdr:col>12</xdr:col>
      <xdr:colOff>381000</xdr:colOff>
      <xdr:row>4</xdr:row>
      <xdr:rowOff>133350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>
          <a:off x="9324975" y="3905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5"/>
  <sheetViews>
    <sheetView topLeftCell="E1" workbookViewId="0">
      <pane ySplit="2" topLeftCell="A247" activePane="bottomLeft" state="frozen"/>
      <selection activeCell="J1" sqref="J1"/>
      <selection pane="bottomLeft" activeCell="Q263" sqref="Q263"/>
    </sheetView>
  </sheetViews>
  <sheetFormatPr defaultRowHeight="15" outlineLevelCol="1" x14ac:dyDescent="0.25"/>
  <cols>
    <col min="1" max="1" width="9" hidden="1" customWidth="1" outlineLevel="1"/>
    <col min="2" max="2" width="8" hidden="1" customWidth="1" outlineLevel="1"/>
    <col min="3" max="3" width="19" hidden="1" customWidth="1" outlineLevel="1"/>
    <col min="4" max="4" width="15" hidden="1" customWidth="1" outlineLevel="1"/>
    <col min="5" max="5" width="14.25" style="80" customWidth="1" collapsed="1"/>
    <col min="6" max="6" width="9.125" customWidth="1"/>
    <col min="7" max="7" width="9.125" customWidth="1" outlineLevel="1"/>
    <col min="8" max="8" width="19.625" customWidth="1" outlineLevel="1"/>
    <col min="9" max="9" width="18.875" customWidth="1" outlineLevel="1"/>
    <col min="10" max="10" width="14.625" customWidth="1" outlineLevel="1"/>
    <col min="11" max="11" width="13.875" bestFit="1" customWidth="1"/>
    <col min="12" max="12" width="39.875" customWidth="1"/>
    <col min="13" max="13" width="12.125" bestFit="1" customWidth="1"/>
    <col min="14" max="14" width="13.625" bestFit="1" customWidth="1"/>
    <col min="15" max="15" width="12" customWidth="1"/>
    <col min="20" max="20" width="14.75" customWidth="1"/>
    <col min="21" max="22" width="15.375" customWidth="1"/>
    <col min="24" max="24" width="10.625" bestFit="1" customWidth="1"/>
  </cols>
  <sheetData>
    <row r="1" spans="1:25" s="80" customFormat="1" ht="29.25" customHeight="1" x14ac:dyDescent="0.25">
      <c r="A1" s="587" t="s">
        <v>182</v>
      </c>
      <c r="B1" s="588"/>
      <c r="C1" s="588"/>
      <c r="D1" s="588"/>
      <c r="E1" s="589"/>
      <c r="F1" s="587" t="s">
        <v>183</v>
      </c>
      <c r="G1" s="588"/>
      <c r="H1" s="588"/>
      <c r="I1" s="588"/>
      <c r="J1" s="589"/>
      <c r="K1" s="318" t="s">
        <v>184</v>
      </c>
      <c r="L1" s="318" t="s">
        <v>185</v>
      </c>
      <c r="M1" s="317" t="s">
        <v>1167</v>
      </c>
      <c r="N1" s="317" t="s">
        <v>1168</v>
      </c>
      <c r="O1" s="318" t="s">
        <v>1169</v>
      </c>
      <c r="T1" s="317" t="s">
        <v>929</v>
      </c>
      <c r="U1" s="317" t="s">
        <v>928</v>
      </c>
      <c r="V1" s="317" t="s">
        <v>1376</v>
      </c>
    </row>
    <row r="2" spans="1:25" ht="15" customHeight="1" x14ac:dyDescent="0.25">
      <c r="A2" s="50" t="s">
        <v>186</v>
      </c>
      <c r="B2" s="50" t="s">
        <v>187</v>
      </c>
      <c r="C2" s="50" t="s">
        <v>188</v>
      </c>
      <c r="D2" s="51" t="s">
        <v>189</v>
      </c>
      <c r="E2" s="51" t="s">
        <v>190</v>
      </c>
      <c r="F2" s="50" t="s">
        <v>186</v>
      </c>
      <c r="G2" s="50" t="s">
        <v>187</v>
      </c>
      <c r="H2" s="50" t="s">
        <v>191</v>
      </c>
      <c r="I2" s="51" t="s">
        <v>192</v>
      </c>
      <c r="J2" s="51" t="s">
        <v>193</v>
      </c>
      <c r="K2" s="319"/>
      <c r="L2" s="319"/>
      <c r="M2" s="320"/>
      <c r="N2" s="320"/>
      <c r="O2" s="319"/>
      <c r="T2" s="320"/>
      <c r="U2" s="320"/>
      <c r="V2" s="320"/>
    </row>
    <row r="3" spans="1:25" ht="15.75" customHeight="1" x14ac:dyDescent="0.3">
      <c r="A3" s="52" t="s">
        <v>194</v>
      </c>
      <c r="B3" s="52" t="s">
        <v>195</v>
      </c>
      <c r="C3" s="53" t="s">
        <v>1170</v>
      </c>
      <c r="D3" s="53" t="s">
        <v>1171</v>
      </c>
      <c r="E3" s="54" t="s">
        <v>1172</v>
      </c>
      <c r="F3" s="55" t="s">
        <v>194</v>
      </c>
      <c r="G3" s="55" t="s">
        <v>195</v>
      </c>
      <c r="H3" s="55" t="s">
        <v>196</v>
      </c>
      <c r="I3" s="55" t="s">
        <v>52</v>
      </c>
      <c r="J3" s="55" t="s">
        <v>197</v>
      </c>
      <c r="K3" s="56">
        <v>11101000001</v>
      </c>
      <c r="L3" s="56" t="s">
        <v>198</v>
      </c>
      <c r="M3" s="52">
        <v>14558.74</v>
      </c>
      <c r="N3" s="52">
        <v>10948</v>
      </c>
      <c r="O3" s="52">
        <v>2614</v>
      </c>
      <c r="P3" s="55"/>
      <c r="Q3">
        <v>20</v>
      </c>
      <c r="R3" t="s">
        <v>865</v>
      </c>
      <c r="T3" s="52">
        <v>14558.74</v>
      </c>
      <c r="U3" s="52">
        <v>10948</v>
      </c>
      <c r="V3" s="52">
        <v>2614</v>
      </c>
      <c r="X3" s="55"/>
      <c r="Y3" s="55"/>
    </row>
    <row r="4" spans="1:25" ht="15.75" customHeight="1" x14ac:dyDescent="0.3">
      <c r="A4" s="57" t="s">
        <v>194</v>
      </c>
      <c r="B4" s="57" t="s">
        <v>195</v>
      </c>
      <c r="C4" s="58" t="s">
        <v>1170</v>
      </c>
      <c r="D4" s="58" t="s">
        <v>1171</v>
      </c>
      <c r="E4" s="59" t="s">
        <v>1172</v>
      </c>
      <c r="F4" s="55" t="s">
        <v>194</v>
      </c>
      <c r="G4" s="55" t="s">
        <v>195</v>
      </c>
      <c r="H4" s="55" t="s">
        <v>196</v>
      </c>
      <c r="I4" s="55" t="s">
        <v>52</v>
      </c>
      <c r="J4" s="55" t="s">
        <v>199</v>
      </c>
      <c r="K4" s="60">
        <v>11102000001</v>
      </c>
      <c r="L4" s="60" t="s">
        <v>200</v>
      </c>
      <c r="M4" s="57">
        <v>10380</v>
      </c>
      <c r="N4" s="57">
        <v>7785</v>
      </c>
      <c r="O4" s="57">
        <v>5190</v>
      </c>
      <c r="P4" s="55"/>
      <c r="Q4">
        <v>20</v>
      </c>
      <c r="R4" t="s">
        <v>866</v>
      </c>
      <c r="T4" s="57">
        <v>10380</v>
      </c>
      <c r="U4" s="57">
        <v>7785</v>
      </c>
      <c r="V4" s="57">
        <v>5190</v>
      </c>
      <c r="X4" s="55"/>
      <c r="Y4" s="55"/>
    </row>
    <row r="5" spans="1:25" ht="15.75" customHeight="1" x14ac:dyDescent="0.3">
      <c r="A5" s="57" t="s">
        <v>194</v>
      </c>
      <c r="B5" s="57" t="s">
        <v>195</v>
      </c>
      <c r="C5" s="58" t="s">
        <v>1170</v>
      </c>
      <c r="D5" s="58" t="s">
        <v>1165</v>
      </c>
      <c r="E5" s="59" t="s">
        <v>1173</v>
      </c>
      <c r="F5" s="55" t="s">
        <v>194</v>
      </c>
      <c r="G5" s="55" t="s">
        <v>195</v>
      </c>
      <c r="H5" s="61">
        <v>0</v>
      </c>
      <c r="I5" s="61">
        <v>0</v>
      </c>
      <c r="J5" s="61">
        <v>0</v>
      </c>
      <c r="K5" s="60">
        <v>11103000001</v>
      </c>
      <c r="L5" s="60" t="s">
        <v>201</v>
      </c>
      <c r="M5" s="57">
        <v>0</v>
      </c>
      <c r="N5" s="57">
        <v>0</v>
      </c>
      <c r="O5" s="57">
        <v>0</v>
      </c>
      <c r="Q5">
        <v>20</v>
      </c>
      <c r="R5" t="s">
        <v>864</v>
      </c>
      <c r="T5" s="57">
        <v>9100</v>
      </c>
      <c r="U5" s="57">
        <v>169507.58</v>
      </c>
      <c r="V5" s="57">
        <v>147836.49</v>
      </c>
      <c r="X5" s="55"/>
      <c r="Y5" s="55"/>
    </row>
    <row r="6" spans="1:25" ht="15.75" customHeight="1" x14ac:dyDescent="0.3">
      <c r="A6" s="57" t="s">
        <v>194</v>
      </c>
      <c r="B6" s="57" t="s">
        <v>195</v>
      </c>
      <c r="C6" s="58" t="s">
        <v>1170</v>
      </c>
      <c r="D6" s="58" t="s">
        <v>119</v>
      </c>
      <c r="E6" s="59" t="s">
        <v>1174</v>
      </c>
      <c r="F6" s="55" t="s">
        <v>194</v>
      </c>
      <c r="G6" s="55" t="s">
        <v>195</v>
      </c>
      <c r="H6" s="62" t="s">
        <v>196</v>
      </c>
      <c r="I6" s="62" t="s">
        <v>119</v>
      </c>
      <c r="J6" s="62" t="s">
        <v>119</v>
      </c>
      <c r="K6" s="60">
        <v>11103000007</v>
      </c>
      <c r="L6" s="60" t="s">
        <v>202</v>
      </c>
      <c r="M6" s="57">
        <v>0</v>
      </c>
      <c r="N6" s="57">
        <v>0</v>
      </c>
      <c r="O6" s="57">
        <v>0</v>
      </c>
      <c r="Q6">
        <v>10</v>
      </c>
      <c r="R6" t="s">
        <v>864</v>
      </c>
      <c r="T6" s="57">
        <v>174001.88</v>
      </c>
      <c r="U6" s="57">
        <v>153320.4</v>
      </c>
      <c r="V6" s="57">
        <v>132638.92000000001</v>
      </c>
      <c r="X6" s="55"/>
      <c r="Y6" s="55"/>
    </row>
    <row r="7" spans="1:25" ht="15.75" customHeight="1" x14ac:dyDescent="0.3">
      <c r="A7" s="57" t="s">
        <v>194</v>
      </c>
      <c r="B7" s="57" t="s">
        <v>195</v>
      </c>
      <c r="C7" s="58" t="s">
        <v>1170</v>
      </c>
      <c r="D7" s="58" t="s">
        <v>1165</v>
      </c>
      <c r="E7" s="59" t="s">
        <v>1173</v>
      </c>
      <c r="F7" s="55" t="s">
        <v>194</v>
      </c>
      <c r="G7" s="55" t="s">
        <v>195</v>
      </c>
      <c r="H7" s="61">
        <v>0</v>
      </c>
      <c r="I7" s="61">
        <v>0</v>
      </c>
      <c r="J7" s="61">
        <v>0</v>
      </c>
      <c r="K7" s="60">
        <v>11103000008</v>
      </c>
      <c r="L7" s="60" t="s">
        <v>203</v>
      </c>
      <c r="M7" s="57">
        <v>0</v>
      </c>
      <c r="N7" s="57">
        <v>0</v>
      </c>
      <c r="O7" s="57">
        <v>0</v>
      </c>
      <c r="Q7">
        <v>20</v>
      </c>
      <c r="R7" t="s">
        <v>864</v>
      </c>
      <c r="T7" s="57">
        <v>15299.65</v>
      </c>
      <c r="U7" s="57">
        <v>12594.33</v>
      </c>
      <c r="V7" s="57">
        <v>9889.01</v>
      </c>
      <c r="X7" s="55"/>
      <c r="Y7" s="55"/>
    </row>
    <row r="8" spans="1:25" ht="15.75" customHeight="1" x14ac:dyDescent="0.3">
      <c r="A8" s="57" t="s">
        <v>194</v>
      </c>
      <c r="B8" s="57" t="s">
        <v>195</v>
      </c>
      <c r="C8" s="58" t="s">
        <v>1170</v>
      </c>
      <c r="D8" s="58" t="s">
        <v>1175</v>
      </c>
      <c r="E8" s="59" t="s">
        <v>1176</v>
      </c>
      <c r="F8" s="55" t="s">
        <v>194</v>
      </c>
      <c r="G8" s="55" t="s">
        <v>195</v>
      </c>
      <c r="H8" s="61">
        <v>0</v>
      </c>
      <c r="I8" s="61">
        <v>0</v>
      </c>
      <c r="J8" s="61">
        <v>0</v>
      </c>
      <c r="K8" s="60">
        <v>11103000009</v>
      </c>
      <c r="L8" s="60" t="s">
        <v>204</v>
      </c>
      <c r="M8" s="57">
        <v>0</v>
      </c>
      <c r="N8" s="57">
        <v>0</v>
      </c>
      <c r="O8" s="57">
        <v>0</v>
      </c>
      <c r="Q8">
        <v>20</v>
      </c>
      <c r="R8" t="s">
        <v>864</v>
      </c>
      <c r="T8" s="57">
        <v>120000</v>
      </c>
      <c r="U8" s="57">
        <v>60000</v>
      </c>
      <c r="V8" s="57">
        <v>0</v>
      </c>
      <c r="X8" s="55"/>
      <c r="Y8" s="55"/>
    </row>
    <row r="9" spans="1:25" ht="15.75" customHeight="1" x14ac:dyDescent="0.3">
      <c r="A9" s="57" t="s">
        <v>194</v>
      </c>
      <c r="B9" s="57" t="s">
        <v>195</v>
      </c>
      <c r="C9" s="58" t="s">
        <v>1170</v>
      </c>
      <c r="D9" s="58" t="s">
        <v>1165</v>
      </c>
      <c r="E9" s="59" t="s">
        <v>1173</v>
      </c>
      <c r="F9" s="55" t="s">
        <v>194</v>
      </c>
      <c r="G9" s="55" t="s">
        <v>195</v>
      </c>
      <c r="H9" s="62" t="s">
        <v>196</v>
      </c>
      <c r="I9" s="62" t="s">
        <v>52</v>
      </c>
      <c r="J9" s="62" t="s">
        <v>205</v>
      </c>
      <c r="K9" s="60">
        <v>11103000010</v>
      </c>
      <c r="L9" s="60" t="s">
        <v>206</v>
      </c>
      <c r="M9" s="57">
        <v>0</v>
      </c>
      <c r="N9" s="57">
        <v>0</v>
      </c>
      <c r="O9" s="57">
        <v>0</v>
      </c>
      <c r="Q9">
        <v>20</v>
      </c>
      <c r="R9" t="s">
        <v>864</v>
      </c>
      <c r="T9" s="57">
        <v>57000</v>
      </c>
      <c r="U9" s="57">
        <v>45600</v>
      </c>
      <c r="V9" s="57">
        <v>316926.8</v>
      </c>
      <c r="X9" s="55"/>
      <c r="Y9" s="55"/>
    </row>
    <row r="10" spans="1:25" ht="15.75" customHeight="1" x14ac:dyDescent="0.3">
      <c r="A10" s="57" t="s">
        <v>194</v>
      </c>
      <c r="B10" s="57" t="s">
        <v>195</v>
      </c>
      <c r="C10" s="58" t="s">
        <v>1170</v>
      </c>
      <c r="D10" s="58" t="s">
        <v>1165</v>
      </c>
      <c r="E10" s="59" t="s">
        <v>1173</v>
      </c>
      <c r="F10" s="55" t="s">
        <v>194</v>
      </c>
      <c r="G10" s="55" t="s">
        <v>195</v>
      </c>
      <c r="H10" s="62" t="s">
        <v>196</v>
      </c>
      <c r="I10" s="62" t="s">
        <v>52</v>
      </c>
      <c r="J10" s="62" t="s">
        <v>205</v>
      </c>
      <c r="K10" s="60">
        <v>11103000011</v>
      </c>
      <c r="L10" s="60" t="s">
        <v>207</v>
      </c>
      <c r="M10" s="57">
        <v>0</v>
      </c>
      <c r="N10" s="57">
        <v>0</v>
      </c>
      <c r="O10" s="57">
        <v>0</v>
      </c>
      <c r="Q10">
        <v>20</v>
      </c>
      <c r="R10" t="s">
        <v>864</v>
      </c>
      <c r="T10" s="57">
        <v>0</v>
      </c>
      <c r="U10" s="57">
        <v>105589.28</v>
      </c>
      <c r="V10" s="57">
        <v>79191.960000000006</v>
      </c>
      <c r="X10" s="55"/>
      <c r="Y10" s="55"/>
    </row>
    <row r="11" spans="1:25" ht="15.75" customHeight="1" x14ac:dyDescent="0.3">
      <c r="A11" s="57" t="s">
        <v>194</v>
      </c>
      <c r="B11" s="57" t="s">
        <v>195</v>
      </c>
      <c r="C11" s="58" t="s">
        <v>1170</v>
      </c>
      <c r="D11" s="58" t="s">
        <v>1165</v>
      </c>
      <c r="E11" s="59" t="s">
        <v>1173</v>
      </c>
      <c r="F11" s="55" t="s">
        <v>194</v>
      </c>
      <c r="G11" s="55" t="s">
        <v>195</v>
      </c>
      <c r="H11" s="62" t="s">
        <v>196</v>
      </c>
      <c r="I11" s="62" t="s">
        <v>208</v>
      </c>
      <c r="J11" s="62" t="s">
        <v>123</v>
      </c>
      <c r="K11" s="60">
        <v>11203000009</v>
      </c>
      <c r="L11" s="60" t="s">
        <v>209</v>
      </c>
      <c r="M11" s="57">
        <v>0</v>
      </c>
      <c r="N11" s="57">
        <v>0</v>
      </c>
      <c r="O11" s="57">
        <v>0</v>
      </c>
      <c r="Q11">
        <v>30</v>
      </c>
      <c r="R11" t="s">
        <v>1332</v>
      </c>
      <c r="S11" t="s">
        <v>1342</v>
      </c>
      <c r="T11" s="57">
        <v>0</v>
      </c>
      <c r="U11" s="57">
        <v>261816.97</v>
      </c>
      <c r="V11" s="57">
        <v>306225.12</v>
      </c>
      <c r="X11" s="55"/>
      <c r="Y11" s="55"/>
    </row>
    <row r="12" spans="1:25" ht="15.75" customHeight="1" x14ac:dyDescent="0.3">
      <c r="A12" s="57" t="s">
        <v>194</v>
      </c>
      <c r="B12" s="57" t="s">
        <v>195</v>
      </c>
      <c r="C12" s="58" t="s">
        <v>1170</v>
      </c>
      <c r="D12" s="58" t="s">
        <v>1165</v>
      </c>
      <c r="E12" s="59" t="s">
        <v>1173</v>
      </c>
      <c r="F12" s="55" t="s">
        <v>194</v>
      </c>
      <c r="G12" s="55" t="s">
        <v>195</v>
      </c>
      <c r="H12" s="62" t="s">
        <v>196</v>
      </c>
      <c r="I12" s="62" t="s">
        <v>208</v>
      </c>
      <c r="J12" s="62" t="s">
        <v>123</v>
      </c>
      <c r="K12" s="60">
        <v>11203000010</v>
      </c>
      <c r="L12" s="60" t="s">
        <v>210</v>
      </c>
      <c r="M12" s="57">
        <v>0</v>
      </c>
      <c r="N12" s="57">
        <v>0</v>
      </c>
      <c r="O12" s="57">
        <v>0</v>
      </c>
      <c r="Q12">
        <v>30</v>
      </c>
      <c r="R12" t="s">
        <v>1332</v>
      </c>
      <c r="S12" t="s">
        <v>1334</v>
      </c>
      <c r="T12" s="57">
        <v>0</v>
      </c>
      <c r="U12" s="57">
        <v>-43618.71</v>
      </c>
      <c r="V12" s="57">
        <v>-90936.62</v>
      </c>
      <c r="X12" s="55"/>
      <c r="Y12" s="55"/>
    </row>
    <row r="13" spans="1:25" ht="15.75" customHeight="1" x14ac:dyDescent="0.3">
      <c r="A13" s="57" t="s">
        <v>194</v>
      </c>
      <c r="B13" s="57" t="s">
        <v>195</v>
      </c>
      <c r="C13" s="58" t="s">
        <v>1177</v>
      </c>
      <c r="D13" s="58" t="s">
        <v>211</v>
      </c>
      <c r="E13" s="59" t="s">
        <v>1178</v>
      </c>
      <c r="F13" s="55" t="s">
        <v>194</v>
      </c>
      <c r="G13" s="55" t="s">
        <v>195</v>
      </c>
      <c r="H13" t="s">
        <v>196</v>
      </c>
      <c r="I13" t="s">
        <v>208</v>
      </c>
      <c r="J13" t="s">
        <v>211</v>
      </c>
      <c r="K13" s="60">
        <v>11201000001</v>
      </c>
      <c r="L13" s="60" t="s">
        <v>212</v>
      </c>
      <c r="M13" s="57">
        <v>945762.35423057829</v>
      </c>
      <c r="N13" s="57">
        <v>945762.35423057829</v>
      </c>
      <c r="O13" s="57">
        <v>945762.35423057829</v>
      </c>
      <c r="Q13">
        <v>30</v>
      </c>
      <c r="R13" t="s">
        <v>1328</v>
      </c>
      <c r="S13" t="s">
        <v>1335</v>
      </c>
      <c r="T13" s="57">
        <v>115416.7</v>
      </c>
      <c r="U13" s="57">
        <v>115416.7</v>
      </c>
      <c r="V13" s="57">
        <v>115416.7</v>
      </c>
      <c r="X13" s="55"/>
      <c r="Y13" s="55"/>
    </row>
    <row r="14" spans="1:25" ht="15.75" customHeight="1" x14ac:dyDescent="0.3">
      <c r="A14" s="57" t="s">
        <v>194</v>
      </c>
      <c r="B14" s="57" t="s">
        <v>195</v>
      </c>
      <c r="C14" s="58" t="s">
        <v>1177</v>
      </c>
      <c r="D14" s="58" t="s">
        <v>211</v>
      </c>
      <c r="E14" s="59" t="s">
        <v>1178</v>
      </c>
      <c r="F14" s="55" t="s">
        <v>194</v>
      </c>
      <c r="G14" s="55" t="s">
        <v>195</v>
      </c>
      <c r="H14" t="s">
        <v>196</v>
      </c>
      <c r="I14" t="s">
        <v>208</v>
      </c>
      <c r="J14" t="s">
        <v>211</v>
      </c>
      <c r="K14" s="60">
        <v>11201000002</v>
      </c>
      <c r="L14" s="60" t="s">
        <v>213</v>
      </c>
      <c r="M14" s="57">
        <v>-161762.3542305782</v>
      </c>
      <c r="N14" s="57">
        <v>-161762.3542305782</v>
      </c>
      <c r="O14" s="57">
        <v>-161762.3542305782</v>
      </c>
      <c r="Q14">
        <v>30</v>
      </c>
      <c r="R14" t="s">
        <v>1328</v>
      </c>
      <c r="S14" t="s">
        <v>1338</v>
      </c>
      <c r="T14" s="57">
        <v>-19740.77</v>
      </c>
      <c r="U14" s="57">
        <v>-19740.77</v>
      </c>
      <c r="V14" s="57">
        <v>-19740.77</v>
      </c>
      <c r="X14" s="55"/>
      <c r="Y14" s="55"/>
    </row>
    <row r="15" spans="1:25" ht="15.75" customHeight="1" x14ac:dyDescent="0.3">
      <c r="A15" s="57" t="s">
        <v>194</v>
      </c>
      <c r="B15" s="57" t="s">
        <v>195</v>
      </c>
      <c r="C15" s="58" t="s">
        <v>1177</v>
      </c>
      <c r="D15" s="58" t="s">
        <v>211</v>
      </c>
      <c r="E15" s="59" t="s">
        <v>1178</v>
      </c>
      <c r="F15" s="55" t="s">
        <v>194</v>
      </c>
      <c r="G15" s="55" t="s">
        <v>195</v>
      </c>
      <c r="H15" t="s">
        <v>196</v>
      </c>
      <c r="I15" t="s">
        <v>208</v>
      </c>
      <c r="J15" t="s">
        <v>211</v>
      </c>
      <c r="K15" s="60">
        <v>11201000013</v>
      </c>
      <c r="L15" s="60" t="s">
        <v>214</v>
      </c>
      <c r="M15" s="57">
        <v>506150.78423002333</v>
      </c>
      <c r="N15" s="57">
        <v>506150.78423002333</v>
      </c>
      <c r="O15" s="57">
        <v>506150.78423002333</v>
      </c>
      <c r="Q15">
        <v>30</v>
      </c>
      <c r="R15" t="s">
        <v>1328</v>
      </c>
      <c r="S15" t="s">
        <v>1335</v>
      </c>
      <c r="T15" s="57">
        <v>288244.67</v>
      </c>
      <c r="U15" s="57">
        <v>288244.67</v>
      </c>
      <c r="V15" s="57">
        <v>288244.67</v>
      </c>
      <c r="X15" s="55"/>
      <c r="Y15" s="55"/>
    </row>
    <row r="16" spans="1:25" ht="15.75" customHeight="1" x14ac:dyDescent="0.3">
      <c r="A16" s="57" t="s">
        <v>194</v>
      </c>
      <c r="B16" s="57" t="s">
        <v>195</v>
      </c>
      <c r="C16" s="58" t="s">
        <v>1177</v>
      </c>
      <c r="D16" s="58" t="s">
        <v>211</v>
      </c>
      <c r="E16" s="59" t="s">
        <v>1178</v>
      </c>
      <c r="F16" s="55" t="s">
        <v>194</v>
      </c>
      <c r="G16" s="55" t="s">
        <v>195</v>
      </c>
      <c r="H16" t="s">
        <v>196</v>
      </c>
      <c r="I16" t="s">
        <v>208</v>
      </c>
      <c r="J16" t="s">
        <v>211</v>
      </c>
      <c r="K16" s="60">
        <v>11201000014</v>
      </c>
      <c r="L16" s="60" t="s">
        <v>215</v>
      </c>
      <c r="M16" s="57">
        <v>-45150.784230023288</v>
      </c>
      <c r="N16" s="57">
        <v>-45150.784230023288</v>
      </c>
      <c r="O16" s="57">
        <v>-45150.784230023288</v>
      </c>
      <c r="Q16">
        <v>30</v>
      </c>
      <c r="R16" t="s">
        <v>1328</v>
      </c>
      <c r="S16" t="s">
        <v>1338</v>
      </c>
      <c r="T16" s="57">
        <v>-25712.639999999999</v>
      </c>
      <c r="U16" s="57">
        <v>-25712.639999999999</v>
      </c>
      <c r="V16" s="57">
        <v>-25712.639999999999</v>
      </c>
      <c r="X16" s="55"/>
      <c r="Y16" s="55"/>
    </row>
    <row r="17" spans="1:25" ht="15.75" customHeight="1" x14ac:dyDescent="0.3">
      <c r="A17" s="57" t="s">
        <v>194</v>
      </c>
      <c r="B17" s="57" t="s">
        <v>195</v>
      </c>
      <c r="C17" s="58" t="s">
        <v>1177</v>
      </c>
      <c r="D17" s="58" t="s">
        <v>211</v>
      </c>
      <c r="E17" s="59" t="s">
        <v>1178</v>
      </c>
      <c r="F17" s="55" t="s">
        <v>194</v>
      </c>
      <c r="G17" s="55" t="s">
        <v>195</v>
      </c>
      <c r="H17" t="s">
        <v>196</v>
      </c>
      <c r="I17" t="s">
        <v>208</v>
      </c>
      <c r="J17" t="s">
        <v>211</v>
      </c>
      <c r="K17" s="60">
        <v>11201000015</v>
      </c>
      <c r="L17" s="60" t="s">
        <v>216</v>
      </c>
      <c r="M17" s="57">
        <v>287142.98630350886</v>
      </c>
      <c r="N17" s="57">
        <v>287142.98630350886</v>
      </c>
      <c r="O17" s="57">
        <v>287142.98630350886</v>
      </c>
      <c r="Q17">
        <v>30</v>
      </c>
      <c r="R17" t="s">
        <v>1328</v>
      </c>
      <c r="S17" t="s">
        <v>1335</v>
      </c>
      <c r="T17" s="57">
        <v>44462.92</v>
      </c>
      <c r="U17" s="57">
        <v>44462.92</v>
      </c>
      <c r="V17" s="57">
        <v>44462.92</v>
      </c>
      <c r="X17" s="55"/>
      <c r="Y17" s="55"/>
    </row>
    <row r="18" spans="1:25" ht="15.75" customHeight="1" x14ac:dyDescent="0.3">
      <c r="A18" s="57" t="s">
        <v>194</v>
      </c>
      <c r="B18" s="57" t="s">
        <v>195</v>
      </c>
      <c r="C18" s="58" t="s">
        <v>1177</v>
      </c>
      <c r="D18" s="58" t="s">
        <v>211</v>
      </c>
      <c r="E18" s="59" t="s">
        <v>1178</v>
      </c>
      <c r="F18" s="55" t="s">
        <v>194</v>
      </c>
      <c r="G18" s="55" t="s">
        <v>195</v>
      </c>
      <c r="H18" t="s">
        <v>196</v>
      </c>
      <c r="I18" t="s">
        <v>208</v>
      </c>
      <c r="J18" t="s">
        <v>211</v>
      </c>
      <c r="K18" s="60">
        <v>11201000016</v>
      </c>
      <c r="L18" s="60" t="s">
        <v>217</v>
      </c>
      <c r="M18" s="57">
        <v>-86142.986303508893</v>
      </c>
      <c r="N18" s="57">
        <v>-86142.986303508893</v>
      </c>
      <c r="O18" s="57">
        <v>-86142.986303508893</v>
      </c>
      <c r="Q18">
        <v>30</v>
      </c>
      <c r="R18" t="s">
        <v>1328</v>
      </c>
      <c r="S18" t="s">
        <v>1338</v>
      </c>
      <c r="T18" s="57">
        <v>-13338.89</v>
      </c>
      <c r="U18" s="57">
        <v>-13338.89</v>
      </c>
      <c r="V18" s="57">
        <v>-13338.89</v>
      </c>
      <c r="X18" s="55"/>
      <c r="Y18" s="55"/>
    </row>
    <row r="19" spans="1:25" ht="15.75" customHeight="1" x14ac:dyDescent="0.3">
      <c r="A19" s="57" t="s">
        <v>194</v>
      </c>
      <c r="B19" s="57" t="s">
        <v>195</v>
      </c>
      <c r="C19" s="58" t="s">
        <v>1177</v>
      </c>
      <c r="D19" s="58" t="s">
        <v>211</v>
      </c>
      <c r="E19" s="59" t="s">
        <v>1178</v>
      </c>
      <c r="F19" s="55" t="s">
        <v>194</v>
      </c>
      <c r="G19" s="55" t="s">
        <v>195</v>
      </c>
      <c r="H19" t="s">
        <v>196</v>
      </c>
      <c r="I19" t="s">
        <v>208</v>
      </c>
      <c r="J19" t="s">
        <v>211</v>
      </c>
      <c r="K19" s="60">
        <v>11201000017</v>
      </c>
      <c r="L19" s="60" t="s">
        <v>218</v>
      </c>
      <c r="M19" s="57">
        <v>189000</v>
      </c>
      <c r="N19" s="57">
        <v>189000</v>
      </c>
      <c r="O19" s="57">
        <v>189000</v>
      </c>
      <c r="Q19">
        <v>30</v>
      </c>
      <c r="R19" t="s">
        <v>1328</v>
      </c>
      <c r="S19" t="s">
        <v>1335</v>
      </c>
      <c r="T19" s="57">
        <v>2091.65</v>
      </c>
      <c r="U19" s="57">
        <v>2091.65</v>
      </c>
      <c r="V19" s="57">
        <v>2091.65</v>
      </c>
      <c r="X19" s="55"/>
      <c r="Y19" s="55"/>
    </row>
    <row r="20" spans="1:25" ht="15.75" customHeight="1" x14ac:dyDescent="0.3">
      <c r="A20" s="57" t="s">
        <v>194</v>
      </c>
      <c r="B20" s="57" t="s">
        <v>195</v>
      </c>
      <c r="C20" s="58" t="s">
        <v>1177</v>
      </c>
      <c r="D20" s="58" t="s">
        <v>211</v>
      </c>
      <c r="E20" s="59" t="s">
        <v>1178</v>
      </c>
      <c r="F20" s="55" t="s">
        <v>194</v>
      </c>
      <c r="G20" s="55" t="s">
        <v>195</v>
      </c>
      <c r="H20" t="s">
        <v>196</v>
      </c>
      <c r="I20" t="s">
        <v>208</v>
      </c>
      <c r="J20" t="s">
        <v>211</v>
      </c>
      <c r="K20" s="60">
        <v>11201000018</v>
      </c>
      <c r="L20" s="60" t="s">
        <v>219</v>
      </c>
      <c r="M20" s="57">
        <v>0</v>
      </c>
      <c r="N20" s="57">
        <v>0</v>
      </c>
      <c r="O20" s="57">
        <v>0</v>
      </c>
      <c r="Q20">
        <v>30</v>
      </c>
      <c r="R20" t="s">
        <v>1328</v>
      </c>
      <c r="S20" t="s">
        <v>1338</v>
      </c>
      <c r="T20" s="57">
        <v>0</v>
      </c>
      <c r="U20" s="57">
        <v>0</v>
      </c>
      <c r="V20" s="57">
        <v>0</v>
      </c>
      <c r="X20" s="55"/>
      <c r="Y20" s="55"/>
    </row>
    <row r="21" spans="1:25" ht="15.75" customHeight="1" x14ac:dyDescent="0.3">
      <c r="A21" s="57" t="s">
        <v>194</v>
      </c>
      <c r="B21" s="57" t="s">
        <v>195</v>
      </c>
      <c r="C21" s="58" t="s">
        <v>1177</v>
      </c>
      <c r="D21" s="58" t="s">
        <v>211</v>
      </c>
      <c r="E21" s="59" t="s">
        <v>1178</v>
      </c>
      <c r="F21" s="55" t="s">
        <v>194</v>
      </c>
      <c r="G21" s="55" t="s">
        <v>195</v>
      </c>
      <c r="H21" t="s">
        <v>196</v>
      </c>
      <c r="I21" t="s">
        <v>208</v>
      </c>
      <c r="J21" t="s">
        <v>211</v>
      </c>
      <c r="K21" s="60">
        <v>11201000025</v>
      </c>
      <c r="L21" s="60" t="s">
        <v>220</v>
      </c>
      <c r="M21" s="57">
        <v>286000</v>
      </c>
      <c r="N21" s="57">
        <v>286000</v>
      </c>
      <c r="O21" s="57">
        <v>286000</v>
      </c>
      <c r="Q21">
        <v>30</v>
      </c>
      <c r="R21" t="s">
        <v>1328</v>
      </c>
      <c r="S21" t="s">
        <v>1335</v>
      </c>
      <c r="T21" s="57">
        <v>53711.519999999997</v>
      </c>
      <c r="U21" s="57">
        <v>53711.519999999997</v>
      </c>
      <c r="V21" s="57">
        <v>53711.519999999997</v>
      </c>
      <c r="X21" s="55"/>
      <c r="Y21" s="55"/>
    </row>
    <row r="22" spans="1:25" ht="15.75" customHeight="1" x14ac:dyDescent="0.3">
      <c r="A22" s="57" t="s">
        <v>194</v>
      </c>
      <c r="B22" s="57" t="s">
        <v>195</v>
      </c>
      <c r="C22" s="58" t="s">
        <v>1177</v>
      </c>
      <c r="D22" s="58" t="s">
        <v>211</v>
      </c>
      <c r="E22" s="59" t="s">
        <v>1178</v>
      </c>
      <c r="F22" s="55" t="s">
        <v>194</v>
      </c>
      <c r="G22" s="55" t="s">
        <v>195</v>
      </c>
      <c r="H22" t="s">
        <v>196</v>
      </c>
      <c r="I22" t="s">
        <v>208</v>
      </c>
      <c r="J22" t="s">
        <v>211</v>
      </c>
      <c r="K22" s="60">
        <v>11201000026</v>
      </c>
      <c r="L22" s="60" t="s">
        <v>221</v>
      </c>
      <c r="M22" s="57">
        <v>0</v>
      </c>
      <c r="N22" s="57">
        <v>0</v>
      </c>
      <c r="O22" s="57">
        <v>0</v>
      </c>
      <c r="Q22">
        <v>30</v>
      </c>
      <c r="R22" t="s">
        <v>1328</v>
      </c>
      <c r="S22" t="s">
        <v>1338</v>
      </c>
      <c r="T22" s="57">
        <v>0</v>
      </c>
      <c r="U22" s="57">
        <v>0</v>
      </c>
      <c r="V22" s="57">
        <v>0</v>
      </c>
      <c r="X22" s="55"/>
      <c r="Y22" s="55"/>
    </row>
    <row r="23" spans="1:25" ht="15.75" customHeight="1" x14ac:dyDescent="0.3">
      <c r="A23" s="57" t="s">
        <v>194</v>
      </c>
      <c r="B23" s="57" t="s">
        <v>195</v>
      </c>
      <c r="C23" s="58" t="s">
        <v>1177</v>
      </c>
      <c r="D23" s="58" t="s">
        <v>211</v>
      </c>
      <c r="E23" s="59" t="s">
        <v>1178</v>
      </c>
      <c r="F23" s="55" t="s">
        <v>194</v>
      </c>
      <c r="G23" s="55" t="s">
        <v>195</v>
      </c>
      <c r="H23" t="s">
        <v>196</v>
      </c>
      <c r="I23" t="s">
        <v>208</v>
      </c>
      <c r="J23" t="s">
        <v>211</v>
      </c>
      <c r="K23" s="60">
        <v>11201000027</v>
      </c>
      <c r="L23" s="60" t="s">
        <v>222</v>
      </c>
      <c r="M23" s="57">
        <v>155000</v>
      </c>
      <c r="N23" s="57">
        <v>155000</v>
      </c>
      <c r="O23" s="57">
        <v>155000</v>
      </c>
      <c r="Q23">
        <v>30</v>
      </c>
      <c r="R23" t="s">
        <v>1328</v>
      </c>
      <c r="S23" t="s">
        <v>1335</v>
      </c>
      <c r="T23" s="57">
        <v>0</v>
      </c>
      <c r="U23" s="57">
        <v>0</v>
      </c>
      <c r="V23" s="57">
        <v>0</v>
      </c>
      <c r="X23" s="55"/>
      <c r="Y23" s="55"/>
    </row>
    <row r="24" spans="1:25" ht="15.75" customHeight="1" x14ac:dyDescent="0.3">
      <c r="A24" s="57" t="s">
        <v>194</v>
      </c>
      <c r="B24" s="57" t="s">
        <v>195</v>
      </c>
      <c r="C24" s="58" t="s">
        <v>1177</v>
      </c>
      <c r="D24" s="58" t="s">
        <v>223</v>
      </c>
      <c r="E24" s="59" t="s">
        <v>1178</v>
      </c>
      <c r="F24" s="55" t="s">
        <v>194</v>
      </c>
      <c r="G24" s="55" t="s">
        <v>195</v>
      </c>
      <c r="H24" t="s">
        <v>196</v>
      </c>
      <c r="I24" t="s">
        <v>208</v>
      </c>
      <c r="J24" t="s">
        <v>223</v>
      </c>
      <c r="K24" s="60">
        <v>11201000003</v>
      </c>
      <c r="L24" s="60" t="s">
        <v>224</v>
      </c>
      <c r="M24" s="57">
        <v>3262146.7195614893</v>
      </c>
      <c r="N24" s="57">
        <v>3262146.7195614893</v>
      </c>
      <c r="O24" s="57">
        <v>5606766.2495614896</v>
      </c>
      <c r="Q24">
        <v>30</v>
      </c>
      <c r="R24" t="s">
        <v>1328</v>
      </c>
      <c r="S24" t="s">
        <v>1335</v>
      </c>
      <c r="T24" s="57">
        <v>3082666.37</v>
      </c>
      <c r="U24" s="57">
        <v>3082666.37</v>
      </c>
      <c r="V24" s="57">
        <v>5427285.9000000004</v>
      </c>
      <c r="X24" s="55"/>
      <c r="Y24" s="55"/>
    </row>
    <row r="25" spans="1:25" ht="15.75" customHeight="1" x14ac:dyDescent="0.3">
      <c r="A25" s="57" t="s">
        <v>194</v>
      </c>
      <c r="B25" s="57" t="s">
        <v>195</v>
      </c>
      <c r="C25" s="58" t="s">
        <v>1177</v>
      </c>
      <c r="D25" s="58" t="s">
        <v>223</v>
      </c>
      <c r="E25" s="59" t="s">
        <v>1178</v>
      </c>
      <c r="F25" s="55" t="s">
        <v>194</v>
      </c>
      <c r="G25" s="55" t="s">
        <v>195</v>
      </c>
      <c r="H25" t="s">
        <v>196</v>
      </c>
      <c r="I25" t="s">
        <v>208</v>
      </c>
      <c r="J25" t="s">
        <v>223</v>
      </c>
      <c r="K25" s="60">
        <v>11201000004</v>
      </c>
      <c r="L25" s="60" t="s">
        <v>225</v>
      </c>
      <c r="M25" s="57">
        <v>-493146.71956148988</v>
      </c>
      <c r="N25" s="57">
        <v>-574215.65442815656</v>
      </c>
      <c r="O25" s="57">
        <v>-725770.40193599963</v>
      </c>
      <c r="Q25">
        <v>30</v>
      </c>
      <c r="R25" t="s">
        <v>1328</v>
      </c>
      <c r="S25" t="s">
        <v>1338</v>
      </c>
      <c r="T25" s="57">
        <v>-471804.67</v>
      </c>
      <c r="U25" s="57">
        <v>-529931.61</v>
      </c>
      <c r="V25" s="57">
        <v>-615031.13</v>
      </c>
      <c r="X25" s="55"/>
      <c r="Y25" s="55"/>
    </row>
    <row r="26" spans="1:25" ht="15.75" customHeight="1" x14ac:dyDescent="0.3">
      <c r="A26" s="57" t="s">
        <v>194</v>
      </c>
      <c r="B26" s="57" t="s">
        <v>195</v>
      </c>
      <c r="C26" s="58" t="s">
        <v>1177</v>
      </c>
      <c r="D26" s="58" t="s">
        <v>223</v>
      </c>
      <c r="E26" s="59" t="s">
        <v>1178</v>
      </c>
      <c r="F26" s="55" t="s">
        <v>194</v>
      </c>
      <c r="G26" s="55" t="s">
        <v>195</v>
      </c>
      <c r="H26" t="s">
        <v>196</v>
      </c>
      <c r="I26" t="s">
        <v>208</v>
      </c>
      <c r="J26" t="s">
        <v>223</v>
      </c>
      <c r="K26" s="60">
        <v>11201000007</v>
      </c>
      <c r="L26" s="60" t="s">
        <v>226</v>
      </c>
      <c r="M26" s="57">
        <v>3747099.5641333167</v>
      </c>
      <c r="N26" s="57">
        <v>3756759.5641333167</v>
      </c>
      <c r="O26" s="57">
        <v>3760259.5641333167</v>
      </c>
      <c r="Q26">
        <v>30</v>
      </c>
      <c r="R26" t="s">
        <v>1328</v>
      </c>
      <c r="S26" t="s">
        <v>1335</v>
      </c>
      <c r="T26" s="57">
        <v>4994452.37</v>
      </c>
      <c r="U26" s="57">
        <v>5004112.37</v>
      </c>
      <c r="V26" s="57">
        <v>5007612.37</v>
      </c>
      <c r="X26" s="55"/>
      <c r="Y26" s="55"/>
    </row>
    <row r="27" spans="1:25" ht="15.75" customHeight="1" x14ac:dyDescent="0.3">
      <c r="A27" s="57" t="s">
        <v>194</v>
      </c>
      <c r="B27" s="57" t="s">
        <v>195</v>
      </c>
      <c r="C27" s="58" t="s">
        <v>1177</v>
      </c>
      <c r="D27" s="58" t="s">
        <v>223</v>
      </c>
      <c r="E27" s="59" t="s">
        <v>1178</v>
      </c>
      <c r="F27" s="55" t="s">
        <v>194</v>
      </c>
      <c r="G27" s="55" t="s">
        <v>195</v>
      </c>
      <c r="H27" t="s">
        <v>196</v>
      </c>
      <c r="I27" t="s">
        <v>208</v>
      </c>
      <c r="J27" t="s">
        <v>223</v>
      </c>
      <c r="K27" s="60">
        <v>11201000008</v>
      </c>
      <c r="L27" s="60" t="s">
        <v>227</v>
      </c>
      <c r="M27" s="57">
        <v>-378099.56413331628</v>
      </c>
      <c r="N27" s="57">
        <v>-514772.30201023945</v>
      </c>
      <c r="O27" s="57">
        <v>-651784.08102049585</v>
      </c>
      <c r="Q27">
        <v>30</v>
      </c>
      <c r="R27" t="s">
        <v>1328</v>
      </c>
      <c r="S27" t="s">
        <v>1338</v>
      </c>
      <c r="T27" s="57">
        <v>-530361.56999999995</v>
      </c>
      <c r="U27" s="57">
        <v>-596663.63</v>
      </c>
      <c r="V27" s="57">
        <v>-696780.88</v>
      </c>
      <c r="X27" s="55"/>
      <c r="Y27" s="55"/>
    </row>
    <row r="28" spans="1:25" ht="15.75" customHeight="1" x14ac:dyDescent="0.3">
      <c r="A28" s="57" t="s">
        <v>194</v>
      </c>
      <c r="B28" s="57" t="s">
        <v>195</v>
      </c>
      <c r="C28" s="58" t="s">
        <v>1177</v>
      </c>
      <c r="D28" s="58" t="s">
        <v>223</v>
      </c>
      <c r="E28" s="59" t="s">
        <v>1178</v>
      </c>
      <c r="F28" s="55" t="s">
        <v>194</v>
      </c>
      <c r="G28" s="55" t="s">
        <v>195</v>
      </c>
      <c r="H28" t="s">
        <v>196</v>
      </c>
      <c r="I28" t="s">
        <v>208</v>
      </c>
      <c r="J28" t="s">
        <v>223</v>
      </c>
      <c r="K28" s="60">
        <v>11201000009</v>
      </c>
      <c r="L28" s="60" t="s">
        <v>228</v>
      </c>
      <c r="M28" s="57">
        <v>95000</v>
      </c>
      <c r="N28" s="57">
        <v>95000</v>
      </c>
      <c r="O28" s="57">
        <v>95000</v>
      </c>
      <c r="Q28">
        <v>30</v>
      </c>
      <c r="R28" t="s">
        <v>1328</v>
      </c>
      <c r="S28" t="s">
        <v>1335</v>
      </c>
      <c r="T28" s="57">
        <v>405168.59</v>
      </c>
      <c r="U28" s="57">
        <v>405168.59</v>
      </c>
      <c r="V28" s="57">
        <v>405168.59</v>
      </c>
      <c r="X28" s="55"/>
      <c r="Y28" s="55"/>
    </row>
    <row r="29" spans="1:25" ht="15.75" customHeight="1" x14ac:dyDescent="0.3">
      <c r="A29" s="57" t="s">
        <v>194</v>
      </c>
      <c r="B29" s="57" t="s">
        <v>195</v>
      </c>
      <c r="C29" s="58" t="s">
        <v>1177</v>
      </c>
      <c r="D29" s="58" t="s">
        <v>223</v>
      </c>
      <c r="E29" s="59" t="s">
        <v>1178</v>
      </c>
      <c r="F29" s="55" t="s">
        <v>194</v>
      </c>
      <c r="G29" s="55" t="s">
        <v>195</v>
      </c>
      <c r="H29" t="s">
        <v>196</v>
      </c>
      <c r="I29" t="s">
        <v>208</v>
      </c>
      <c r="J29" t="s">
        <v>223</v>
      </c>
      <c r="K29" s="60">
        <v>11201000010</v>
      </c>
      <c r="L29" s="60" t="s">
        <v>229</v>
      </c>
      <c r="M29" s="57">
        <v>0</v>
      </c>
      <c r="N29" s="57">
        <v>-6333.333333333333</v>
      </c>
      <c r="O29" s="57">
        <v>-12666.666666666666</v>
      </c>
      <c r="Q29">
        <v>30</v>
      </c>
      <c r="R29" t="s">
        <v>1328</v>
      </c>
      <c r="S29" t="s">
        <v>1338</v>
      </c>
      <c r="T29" s="57">
        <v>0</v>
      </c>
      <c r="U29" s="57">
        <v>0</v>
      </c>
      <c r="V29" s="57">
        <v>0</v>
      </c>
      <c r="X29" s="55"/>
      <c r="Y29" s="55"/>
    </row>
    <row r="30" spans="1:25" ht="15.75" customHeight="1" x14ac:dyDescent="0.3">
      <c r="A30" s="57" t="s">
        <v>194</v>
      </c>
      <c r="B30" s="57" t="s">
        <v>195</v>
      </c>
      <c r="C30" s="58" t="s">
        <v>1177</v>
      </c>
      <c r="D30" s="58" t="s">
        <v>223</v>
      </c>
      <c r="E30" s="59" t="s">
        <v>1178</v>
      </c>
      <c r="F30" s="55" t="s">
        <v>194</v>
      </c>
      <c r="G30" s="55" t="s">
        <v>195</v>
      </c>
      <c r="H30" t="s">
        <v>196</v>
      </c>
      <c r="I30" t="s">
        <v>208</v>
      </c>
      <c r="J30" t="s">
        <v>223</v>
      </c>
      <c r="K30" s="60">
        <v>11201000011</v>
      </c>
      <c r="L30" s="60" t="s">
        <v>230</v>
      </c>
      <c r="M30" s="57">
        <v>554005.676128775</v>
      </c>
      <c r="N30" s="57">
        <v>554005.676128775</v>
      </c>
      <c r="O30" s="57">
        <v>554005.676128775</v>
      </c>
      <c r="Q30">
        <v>30</v>
      </c>
      <c r="R30" t="s">
        <v>1328</v>
      </c>
      <c r="S30" t="s">
        <v>1335</v>
      </c>
      <c r="T30" s="57">
        <v>623849.72</v>
      </c>
      <c r="U30" s="57">
        <v>623849.72</v>
      </c>
      <c r="V30" s="57">
        <v>623849.72</v>
      </c>
      <c r="X30" s="55"/>
      <c r="Y30" s="55"/>
    </row>
    <row r="31" spans="1:25" ht="15.75" customHeight="1" x14ac:dyDescent="0.3">
      <c r="A31" s="57" t="s">
        <v>194</v>
      </c>
      <c r="B31" s="57" t="s">
        <v>195</v>
      </c>
      <c r="C31" s="58" t="s">
        <v>1177</v>
      </c>
      <c r="D31" s="58" t="s">
        <v>223</v>
      </c>
      <c r="E31" s="59" t="s">
        <v>1178</v>
      </c>
      <c r="F31" s="55" t="s">
        <v>194</v>
      </c>
      <c r="G31" s="55" t="s">
        <v>195</v>
      </c>
      <c r="H31" t="s">
        <v>196</v>
      </c>
      <c r="I31" t="s">
        <v>208</v>
      </c>
      <c r="J31" t="s">
        <v>223</v>
      </c>
      <c r="K31" s="60">
        <v>11201000012</v>
      </c>
      <c r="L31" s="60" t="s">
        <v>231</v>
      </c>
      <c r="M31" s="57">
        <v>-40005.676128774918</v>
      </c>
      <c r="N31" s="57">
        <v>-70240.965046421989</v>
      </c>
      <c r="O31" s="57">
        <v>-100476.26476406904</v>
      </c>
      <c r="Q31">
        <v>30</v>
      </c>
      <c r="R31" t="s">
        <v>1328</v>
      </c>
      <c r="S31" t="s">
        <v>1338</v>
      </c>
      <c r="T31" s="57">
        <v>-58487.519999999997</v>
      </c>
      <c r="U31" s="57">
        <v>-62706.87</v>
      </c>
      <c r="V31" s="57">
        <v>-75183.87</v>
      </c>
      <c r="X31" s="55"/>
      <c r="Y31" s="55"/>
    </row>
    <row r="32" spans="1:25" ht="15.75" customHeight="1" x14ac:dyDescent="0.3">
      <c r="A32" s="57" t="s">
        <v>194</v>
      </c>
      <c r="B32" s="57" t="s">
        <v>195</v>
      </c>
      <c r="C32" s="58" t="s">
        <v>1177</v>
      </c>
      <c r="D32" s="58" t="s">
        <v>223</v>
      </c>
      <c r="E32" s="59" t="s">
        <v>1178</v>
      </c>
      <c r="F32" s="55" t="s">
        <v>194</v>
      </c>
      <c r="G32" s="55" t="s">
        <v>195</v>
      </c>
      <c r="H32" t="s">
        <v>196</v>
      </c>
      <c r="I32" t="s">
        <v>208</v>
      </c>
      <c r="J32" t="s">
        <v>223</v>
      </c>
      <c r="K32" s="60">
        <v>11201000019</v>
      </c>
      <c r="L32" s="60" t="s">
        <v>232</v>
      </c>
      <c r="M32" s="57">
        <v>408293.30186288321</v>
      </c>
      <c r="N32" s="57">
        <v>408293.30186288321</v>
      </c>
      <c r="O32" s="57">
        <v>408293.30186288321</v>
      </c>
      <c r="Q32">
        <v>30</v>
      </c>
      <c r="R32" t="s">
        <v>1328</v>
      </c>
      <c r="S32" t="s">
        <v>1335</v>
      </c>
      <c r="T32" s="57">
        <v>524494.30000000005</v>
      </c>
      <c r="U32" s="57">
        <v>524494.30000000005</v>
      </c>
      <c r="V32" s="57">
        <v>524494.30000000005</v>
      </c>
      <c r="X32" s="55"/>
      <c r="Y32" s="55"/>
    </row>
    <row r="33" spans="1:25" ht="15.75" customHeight="1" x14ac:dyDescent="0.3">
      <c r="A33" s="57" t="s">
        <v>194</v>
      </c>
      <c r="B33" s="57" t="s">
        <v>195</v>
      </c>
      <c r="C33" s="58" t="s">
        <v>1177</v>
      </c>
      <c r="D33" s="58" t="s">
        <v>223</v>
      </c>
      <c r="E33" s="59" t="s">
        <v>1178</v>
      </c>
      <c r="F33" s="55" t="s">
        <v>194</v>
      </c>
      <c r="G33" s="55" t="s">
        <v>195</v>
      </c>
      <c r="H33" t="s">
        <v>196</v>
      </c>
      <c r="I33" t="s">
        <v>208</v>
      </c>
      <c r="J33" t="s">
        <v>223</v>
      </c>
      <c r="K33" s="60">
        <v>11201000020</v>
      </c>
      <c r="L33" s="60" t="s">
        <v>233</v>
      </c>
      <c r="M33" s="57">
        <v>-35293.301862883185</v>
      </c>
      <c r="N33" s="57">
        <v>-46596.336565913487</v>
      </c>
      <c r="O33" s="57">
        <v>-57899.370868943792</v>
      </c>
      <c r="Q33">
        <v>30</v>
      </c>
      <c r="R33" t="s">
        <v>1328</v>
      </c>
      <c r="S33" t="s">
        <v>1338</v>
      </c>
      <c r="T33" s="57">
        <v>-46125.89</v>
      </c>
      <c r="U33" s="57">
        <v>-53211.88</v>
      </c>
      <c r="V33" s="57">
        <v>-63701.77</v>
      </c>
      <c r="X33" s="55"/>
      <c r="Y33" s="55"/>
    </row>
    <row r="34" spans="1:25" ht="15.75" customHeight="1" x14ac:dyDescent="0.3">
      <c r="A34" s="57" t="s">
        <v>194</v>
      </c>
      <c r="B34" s="57" t="s">
        <v>195</v>
      </c>
      <c r="C34" s="58" t="s">
        <v>1177</v>
      </c>
      <c r="D34" s="58" t="s">
        <v>223</v>
      </c>
      <c r="E34" s="59" t="s">
        <v>1178</v>
      </c>
      <c r="F34" s="55" t="s">
        <v>194</v>
      </c>
      <c r="G34" s="55" t="s">
        <v>195</v>
      </c>
      <c r="H34" t="s">
        <v>196</v>
      </c>
      <c r="I34" t="s">
        <v>208</v>
      </c>
      <c r="J34" t="s">
        <v>223</v>
      </c>
      <c r="K34" s="60">
        <v>11201000023</v>
      </c>
      <c r="L34" s="60" t="s">
        <v>234</v>
      </c>
      <c r="M34" s="57">
        <v>1778291.3655883132</v>
      </c>
      <c r="N34" s="57">
        <v>1778291.3655883132</v>
      </c>
      <c r="O34" s="57">
        <v>1778291.3655883132</v>
      </c>
      <c r="Q34">
        <v>30</v>
      </c>
      <c r="R34" t="s">
        <v>1328</v>
      </c>
      <c r="S34" t="s">
        <v>1335</v>
      </c>
      <c r="T34" s="57">
        <v>1718654.78</v>
      </c>
      <c r="U34" s="57">
        <v>1718654.78</v>
      </c>
      <c r="V34" s="57">
        <v>1718654.78</v>
      </c>
      <c r="X34" s="55"/>
      <c r="Y34" s="55"/>
    </row>
    <row r="35" spans="1:25" ht="15.75" customHeight="1" x14ac:dyDescent="0.3">
      <c r="A35" s="57" t="s">
        <v>194</v>
      </c>
      <c r="B35" s="57" t="s">
        <v>195</v>
      </c>
      <c r="C35" s="58" t="s">
        <v>1177</v>
      </c>
      <c r="D35" s="58" t="s">
        <v>223</v>
      </c>
      <c r="E35" s="59" t="s">
        <v>1178</v>
      </c>
      <c r="F35" s="55" t="s">
        <v>194</v>
      </c>
      <c r="G35" s="55" t="s">
        <v>195</v>
      </c>
      <c r="H35" t="s">
        <v>196</v>
      </c>
      <c r="I35" t="s">
        <v>208</v>
      </c>
      <c r="J35" t="s">
        <v>223</v>
      </c>
      <c r="K35" s="60">
        <v>11201000024</v>
      </c>
      <c r="L35" s="60" t="s">
        <v>235</v>
      </c>
      <c r="M35" s="57">
        <v>-121291.36558831294</v>
      </c>
      <c r="N35" s="57">
        <v>-174742.97929153877</v>
      </c>
      <c r="O35" s="57">
        <v>-228194.59659476456</v>
      </c>
      <c r="Q35">
        <v>30</v>
      </c>
      <c r="R35" t="s">
        <v>1328</v>
      </c>
      <c r="S35" t="s">
        <v>1338</v>
      </c>
      <c r="T35" s="57">
        <v>-125426.1</v>
      </c>
      <c r="U35" s="57">
        <v>-142475.76</v>
      </c>
      <c r="V35" s="57">
        <v>-176848.86</v>
      </c>
      <c r="X35" s="55"/>
      <c r="Y35" s="55"/>
    </row>
    <row r="36" spans="1:25" ht="15.75" customHeight="1" x14ac:dyDescent="0.3">
      <c r="A36" s="57" t="s">
        <v>194</v>
      </c>
      <c r="B36" s="57" t="s">
        <v>195</v>
      </c>
      <c r="C36" s="58" t="s">
        <v>1177</v>
      </c>
      <c r="D36" s="58" t="s">
        <v>223</v>
      </c>
      <c r="E36" s="59" t="s">
        <v>1178</v>
      </c>
      <c r="F36" s="55" t="s">
        <v>194</v>
      </c>
      <c r="G36" s="55" t="s">
        <v>195</v>
      </c>
      <c r="H36" t="s">
        <v>196</v>
      </c>
      <c r="I36" t="s">
        <v>208</v>
      </c>
      <c r="J36" t="s">
        <v>223</v>
      </c>
      <c r="K36" s="60">
        <v>11201000005</v>
      </c>
      <c r="L36" s="60" t="s">
        <v>236</v>
      </c>
      <c r="M36" s="57">
        <v>27997.13</v>
      </c>
      <c r="N36" s="57">
        <v>27997.13</v>
      </c>
      <c r="O36" s="57">
        <v>27997.13</v>
      </c>
      <c r="Q36">
        <v>30</v>
      </c>
      <c r="R36" t="s">
        <v>1328</v>
      </c>
      <c r="S36" t="s">
        <v>1335</v>
      </c>
      <c r="T36" s="57">
        <v>27997.13</v>
      </c>
      <c r="U36" s="57">
        <v>27997.13</v>
      </c>
      <c r="V36" s="57">
        <v>27997.13</v>
      </c>
      <c r="X36" s="55"/>
      <c r="Y36" s="55"/>
    </row>
    <row r="37" spans="1:25" ht="15.75" customHeight="1" x14ac:dyDescent="0.3">
      <c r="A37" s="57" t="s">
        <v>194</v>
      </c>
      <c r="B37" s="57" t="s">
        <v>195</v>
      </c>
      <c r="C37" s="58" t="s">
        <v>1177</v>
      </c>
      <c r="D37" s="58" t="s">
        <v>223</v>
      </c>
      <c r="E37" s="59" t="s">
        <v>1178</v>
      </c>
      <c r="F37" s="55" t="s">
        <v>194</v>
      </c>
      <c r="G37" s="55" t="s">
        <v>195</v>
      </c>
      <c r="H37" t="s">
        <v>196</v>
      </c>
      <c r="I37" t="s">
        <v>208</v>
      </c>
      <c r="J37" t="s">
        <v>223</v>
      </c>
      <c r="K37" s="60">
        <v>11201000006</v>
      </c>
      <c r="L37" s="60" t="s">
        <v>237</v>
      </c>
      <c r="M37" s="57">
        <v>-27997.13</v>
      </c>
      <c r="N37" s="57">
        <v>-27997.13</v>
      </c>
      <c r="O37" s="57">
        <v>-27997.13</v>
      </c>
      <c r="Q37">
        <v>30</v>
      </c>
      <c r="R37" t="s">
        <v>1328</v>
      </c>
      <c r="S37" t="s">
        <v>1338</v>
      </c>
      <c r="T37" s="57">
        <v>-27997.13</v>
      </c>
      <c r="U37" s="57">
        <v>-27997.13</v>
      </c>
      <c r="V37" s="57">
        <v>-27997.13</v>
      </c>
      <c r="X37" s="55"/>
      <c r="Y37" s="55"/>
    </row>
    <row r="38" spans="1:25" ht="15.75" customHeight="1" x14ac:dyDescent="0.3">
      <c r="A38" s="57" t="s">
        <v>194</v>
      </c>
      <c r="B38" s="57" t="s">
        <v>195</v>
      </c>
      <c r="C38" s="58" t="s">
        <v>1177</v>
      </c>
      <c r="D38" s="58" t="s">
        <v>223</v>
      </c>
      <c r="E38" s="59" t="s">
        <v>1178</v>
      </c>
      <c r="F38" s="55" t="s">
        <v>194</v>
      </c>
      <c r="G38" s="55" t="s">
        <v>195</v>
      </c>
      <c r="H38" t="s">
        <v>196</v>
      </c>
      <c r="I38" t="s">
        <v>208</v>
      </c>
      <c r="J38" t="s">
        <v>223</v>
      </c>
      <c r="K38" s="60">
        <v>11201000021</v>
      </c>
      <c r="L38" s="60" t="s">
        <v>238</v>
      </c>
      <c r="M38" s="57">
        <v>998.19</v>
      </c>
      <c r="N38" s="57">
        <v>998.19</v>
      </c>
      <c r="O38" s="57">
        <v>998.19</v>
      </c>
      <c r="Q38">
        <v>30</v>
      </c>
      <c r="R38" t="s">
        <v>1328</v>
      </c>
      <c r="S38" t="s">
        <v>1335</v>
      </c>
      <c r="T38" s="57">
        <v>998.19</v>
      </c>
      <c r="U38" s="57">
        <v>998.19</v>
      </c>
      <c r="V38" s="57">
        <v>998.19</v>
      </c>
      <c r="X38" s="55"/>
      <c r="Y38" s="55"/>
    </row>
    <row r="39" spans="1:25" ht="15.75" customHeight="1" x14ac:dyDescent="0.3">
      <c r="A39" s="57" t="s">
        <v>194</v>
      </c>
      <c r="B39" s="57" t="s">
        <v>195</v>
      </c>
      <c r="C39" s="58" t="s">
        <v>1177</v>
      </c>
      <c r="D39" s="58" t="s">
        <v>223</v>
      </c>
      <c r="E39" s="59" t="s">
        <v>1178</v>
      </c>
      <c r="F39" s="55" t="s">
        <v>194</v>
      </c>
      <c r="G39" s="55" t="s">
        <v>195</v>
      </c>
      <c r="H39" t="s">
        <v>196</v>
      </c>
      <c r="I39" t="s">
        <v>208</v>
      </c>
      <c r="J39" t="s">
        <v>223</v>
      </c>
      <c r="K39" s="60">
        <v>11201000022</v>
      </c>
      <c r="L39" s="60" t="s">
        <v>239</v>
      </c>
      <c r="M39" s="57">
        <v>-998.19</v>
      </c>
      <c r="N39" s="57">
        <v>-998.19</v>
      </c>
      <c r="O39" s="57">
        <v>-998.19</v>
      </c>
      <c r="Q39">
        <v>30</v>
      </c>
      <c r="R39" t="s">
        <v>1328</v>
      </c>
      <c r="S39" t="s">
        <v>1338</v>
      </c>
      <c r="T39" s="57">
        <v>-998.19</v>
      </c>
      <c r="U39" s="57">
        <v>-998.19</v>
      </c>
      <c r="V39" s="57">
        <v>-998.19</v>
      </c>
      <c r="X39" s="55"/>
      <c r="Y39" s="55"/>
    </row>
    <row r="40" spans="1:25" ht="15.75" customHeight="1" x14ac:dyDescent="0.3">
      <c r="A40" s="57"/>
      <c r="B40" s="57"/>
      <c r="C40" s="58"/>
      <c r="D40" s="58"/>
      <c r="E40" s="59"/>
      <c r="F40" s="55" t="s">
        <v>194</v>
      </c>
      <c r="G40" s="55" t="s">
        <v>195</v>
      </c>
      <c r="H40" t="s">
        <v>196</v>
      </c>
      <c r="I40" t="s">
        <v>208</v>
      </c>
      <c r="J40" t="s">
        <v>223</v>
      </c>
      <c r="K40" s="69" t="s">
        <v>1179</v>
      </c>
      <c r="L40" s="69" t="s">
        <v>1180</v>
      </c>
      <c r="M40" s="57">
        <v>30855.323227039411</v>
      </c>
      <c r="N40" s="57">
        <v>30855.323227039411</v>
      </c>
      <c r="O40" s="57">
        <v>30855.323227039411</v>
      </c>
      <c r="Q40">
        <v>30</v>
      </c>
      <c r="R40" t="s">
        <v>1328</v>
      </c>
      <c r="S40" t="s">
        <v>1335</v>
      </c>
      <c r="T40" s="57">
        <v>0</v>
      </c>
      <c r="U40" s="57">
        <v>0</v>
      </c>
      <c r="V40" s="57">
        <v>0</v>
      </c>
      <c r="X40" s="55"/>
      <c r="Y40" s="55"/>
    </row>
    <row r="41" spans="1:25" ht="15.75" customHeight="1" x14ac:dyDescent="0.3">
      <c r="A41" s="57"/>
      <c r="B41" s="57"/>
      <c r="C41" s="58"/>
      <c r="D41" s="58"/>
      <c r="E41" s="59"/>
      <c r="F41" s="55" t="s">
        <v>194</v>
      </c>
      <c r="G41" s="55" t="s">
        <v>195</v>
      </c>
      <c r="H41" t="s">
        <v>196</v>
      </c>
      <c r="I41" t="s">
        <v>208</v>
      </c>
      <c r="J41" t="s">
        <v>223</v>
      </c>
      <c r="K41" s="69" t="s">
        <v>1181</v>
      </c>
      <c r="L41" s="69" t="s">
        <v>1182</v>
      </c>
      <c r="M41" s="57">
        <v>1023899.6939961808</v>
      </c>
      <c r="N41" s="57">
        <v>1023899.6939961808</v>
      </c>
      <c r="O41" s="57">
        <v>1023899.6939961808</v>
      </c>
      <c r="Q41">
        <v>30</v>
      </c>
      <c r="R41" t="s">
        <v>1328</v>
      </c>
      <c r="S41" t="s">
        <v>1335</v>
      </c>
      <c r="T41" s="57">
        <v>0</v>
      </c>
      <c r="U41" s="57">
        <v>0</v>
      </c>
      <c r="V41" s="57">
        <v>0</v>
      </c>
      <c r="X41" s="55"/>
      <c r="Y41" s="55"/>
    </row>
    <row r="42" spans="1:25" ht="15.75" customHeight="1" x14ac:dyDescent="0.3">
      <c r="A42" s="57"/>
      <c r="B42" s="57"/>
      <c r="C42" s="58"/>
      <c r="D42" s="58"/>
      <c r="E42" s="59"/>
      <c r="F42" s="55" t="s">
        <v>194</v>
      </c>
      <c r="G42" s="55" t="s">
        <v>195</v>
      </c>
      <c r="H42" t="s">
        <v>196</v>
      </c>
      <c r="I42" t="s">
        <v>208</v>
      </c>
      <c r="J42" t="s">
        <v>223</v>
      </c>
      <c r="K42" s="69" t="s">
        <v>1183</v>
      </c>
      <c r="L42" s="69" t="s">
        <v>1184</v>
      </c>
      <c r="M42" s="57">
        <v>946229.21526556276</v>
      </c>
      <c r="N42" s="57">
        <v>946229.21526556276</v>
      </c>
      <c r="O42" s="57">
        <v>946229.21526556276</v>
      </c>
      <c r="Q42">
        <v>30</v>
      </c>
      <c r="R42" t="s">
        <v>1328</v>
      </c>
      <c r="S42" t="s">
        <v>1335</v>
      </c>
      <c r="T42" s="57">
        <v>0</v>
      </c>
      <c r="U42" s="57">
        <v>0</v>
      </c>
      <c r="V42" s="57">
        <v>0</v>
      </c>
      <c r="X42" s="55"/>
      <c r="Y42" s="55"/>
    </row>
    <row r="43" spans="1:25" ht="15.75" customHeight="1" x14ac:dyDescent="0.3">
      <c r="A43" s="57"/>
      <c r="B43" s="57"/>
      <c r="C43" s="58"/>
      <c r="D43" s="58"/>
      <c r="E43" s="59"/>
      <c r="F43" s="55" t="s">
        <v>194</v>
      </c>
      <c r="G43" s="55" t="s">
        <v>195</v>
      </c>
      <c r="H43" t="s">
        <v>196</v>
      </c>
      <c r="I43" t="s">
        <v>208</v>
      </c>
      <c r="J43" t="s">
        <v>223</v>
      </c>
      <c r="K43" s="69" t="s">
        <v>1185</v>
      </c>
      <c r="L43" s="69" t="s">
        <v>1186</v>
      </c>
      <c r="M43" s="57">
        <v>413072.38935827638</v>
      </c>
      <c r="N43" s="57">
        <v>413072.38935827638</v>
      </c>
      <c r="O43" s="57">
        <v>413072.38935827638</v>
      </c>
      <c r="Q43">
        <v>30</v>
      </c>
      <c r="R43" t="s">
        <v>1328</v>
      </c>
      <c r="S43" t="s">
        <v>1335</v>
      </c>
      <c r="T43" s="57">
        <v>0</v>
      </c>
      <c r="U43" s="57">
        <v>0</v>
      </c>
      <c r="V43" s="57">
        <v>0</v>
      </c>
      <c r="X43" s="55"/>
      <c r="Y43" s="55"/>
    </row>
    <row r="44" spans="1:25" ht="15.75" customHeight="1" x14ac:dyDescent="0.3">
      <c r="A44" s="57"/>
      <c r="B44" s="57"/>
      <c r="C44" s="58"/>
      <c r="D44" s="58"/>
      <c r="E44" s="59"/>
      <c r="F44" s="55" t="s">
        <v>194</v>
      </c>
      <c r="G44" s="55" t="s">
        <v>195</v>
      </c>
      <c r="H44" t="s">
        <v>196</v>
      </c>
      <c r="I44" t="s">
        <v>208</v>
      </c>
      <c r="J44" t="s">
        <v>223</v>
      </c>
      <c r="K44" s="69" t="s">
        <v>1187</v>
      </c>
      <c r="L44" s="69" t="s">
        <v>1188</v>
      </c>
      <c r="M44" s="57">
        <v>9000</v>
      </c>
      <c r="N44" s="57">
        <v>9000</v>
      </c>
      <c r="O44" s="57">
        <v>9000</v>
      </c>
      <c r="Q44">
        <v>30</v>
      </c>
      <c r="R44" t="s">
        <v>1328</v>
      </c>
      <c r="S44" t="s">
        <v>1335</v>
      </c>
      <c r="T44" s="57">
        <v>0</v>
      </c>
      <c r="U44" s="57">
        <v>0</v>
      </c>
      <c r="V44" s="57">
        <v>0</v>
      </c>
      <c r="X44" s="55"/>
      <c r="Y44" s="55"/>
    </row>
    <row r="45" spans="1:25" ht="15.75" customHeight="1" x14ac:dyDescent="0.3">
      <c r="A45" s="57"/>
      <c r="B45" s="57"/>
      <c r="C45" s="58"/>
      <c r="D45" s="58"/>
      <c r="E45" s="59"/>
      <c r="F45" s="55" t="s">
        <v>194</v>
      </c>
      <c r="G45" s="55" t="s">
        <v>195</v>
      </c>
      <c r="H45" t="s">
        <v>196</v>
      </c>
      <c r="I45" t="s">
        <v>208</v>
      </c>
      <c r="J45" t="s">
        <v>223</v>
      </c>
      <c r="K45" s="69" t="s">
        <v>1189</v>
      </c>
      <c r="L45" s="69" t="s">
        <v>1190</v>
      </c>
      <c r="M45" s="57">
        <v>122796.35435799863</v>
      </c>
      <c r="N45" s="57">
        <v>122796.35435799863</v>
      </c>
      <c r="O45" s="57">
        <v>122796.35435799863</v>
      </c>
      <c r="Q45">
        <v>30</v>
      </c>
      <c r="R45" t="s">
        <v>1328</v>
      </c>
      <c r="S45" t="s">
        <v>1335</v>
      </c>
      <c r="T45" s="57">
        <v>0</v>
      </c>
      <c r="U45" s="57">
        <v>0</v>
      </c>
      <c r="V45" s="57">
        <v>0</v>
      </c>
      <c r="X45" s="55"/>
      <c r="Y45" s="55"/>
    </row>
    <row r="46" spans="1:25" ht="15.75" customHeight="1" x14ac:dyDescent="0.3">
      <c r="A46" s="57"/>
      <c r="B46" s="57"/>
      <c r="C46" s="58"/>
      <c r="D46" s="58"/>
      <c r="E46" s="59"/>
      <c r="F46" s="55" t="s">
        <v>194</v>
      </c>
      <c r="G46" s="55" t="s">
        <v>195</v>
      </c>
      <c r="H46" t="s">
        <v>196</v>
      </c>
      <c r="I46" t="s">
        <v>208</v>
      </c>
      <c r="J46" t="s">
        <v>223</v>
      </c>
      <c r="K46" s="69" t="s">
        <v>1191</v>
      </c>
      <c r="L46" s="69" t="s">
        <v>1190</v>
      </c>
      <c r="M46" s="57">
        <v>1468.4287812041116</v>
      </c>
      <c r="N46" s="57">
        <v>1468.4287812041116</v>
      </c>
      <c r="O46" s="57">
        <v>1468.4287812041116</v>
      </c>
      <c r="Q46">
        <v>30</v>
      </c>
      <c r="R46" t="s">
        <v>1328</v>
      </c>
      <c r="S46" t="s">
        <v>1335</v>
      </c>
      <c r="T46" s="57">
        <v>0</v>
      </c>
      <c r="U46" s="57">
        <v>0</v>
      </c>
      <c r="V46" s="57">
        <v>0</v>
      </c>
      <c r="X46" s="55"/>
      <c r="Y46" s="55"/>
    </row>
    <row r="47" spans="1:25" ht="15.75" customHeight="1" x14ac:dyDescent="0.3">
      <c r="A47" s="57"/>
      <c r="B47" s="57"/>
      <c r="C47" s="58"/>
      <c r="D47" s="58"/>
      <c r="E47" s="59"/>
      <c r="F47" s="55" t="s">
        <v>194</v>
      </c>
      <c r="G47" s="55" t="s">
        <v>195</v>
      </c>
      <c r="H47" t="s">
        <v>196</v>
      </c>
      <c r="I47" t="s">
        <v>208</v>
      </c>
      <c r="J47" t="s">
        <v>223</v>
      </c>
      <c r="K47" s="69" t="s">
        <v>1192</v>
      </c>
      <c r="L47" s="69" t="s">
        <v>1193</v>
      </c>
      <c r="M47" s="57">
        <v>64772.725767118289</v>
      </c>
      <c r="N47" s="57">
        <v>64772.725767118289</v>
      </c>
      <c r="O47" s="57">
        <v>64772.725767118289</v>
      </c>
      <c r="Q47">
        <v>30</v>
      </c>
      <c r="R47" t="s">
        <v>1328</v>
      </c>
      <c r="S47" t="s">
        <v>1335</v>
      </c>
      <c r="T47" s="57">
        <v>0</v>
      </c>
      <c r="U47" s="57">
        <v>0</v>
      </c>
      <c r="V47" s="57">
        <v>0</v>
      </c>
      <c r="X47" s="55"/>
      <c r="Y47" s="55"/>
    </row>
    <row r="48" spans="1:25" ht="15.75" customHeight="1" x14ac:dyDescent="0.3">
      <c r="A48" s="57"/>
      <c r="B48" s="57"/>
      <c r="C48" s="58"/>
      <c r="D48" s="58"/>
      <c r="E48" s="59"/>
      <c r="F48" s="55" t="s">
        <v>194</v>
      </c>
      <c r="G48" s="55" t="s">
        <v>195</v>
      </c>
      <c r="H48" t="s">
        <v>196</v>
      </c>
      <c r="I48" t="s">
        <v>208</v>
      </c>
      <c r="J48" t="s">
        <v>223</v>
      </c>
      <c r="K48" s="69" t="s">
        <v>1194</v>
      </c>
      <c r="L48" s="69" t="s">
        <v>1195</v>
      </c>
      <c r="M48" s="57">
        <v>-9855.3232270394128</v>
      </c>
      <c r="N48" s="57">
        <v>-10555.323227039413</v>
      </c>
      <c r="O48" s="57">
        <v>-11255.323227039413</v>
      </c>
      <c r="Q48">
        <v>30</v>
      </c>
      <c r="R48" t="s">
        <v>1328</v>
      </c>
      <c r="S48" t="s">
        <v>1338</v>
      </c>
      <c r="T48" s="57">
        <v>0</v>
      </c>
      <c r="U48" s="57">
        <v>0</v>
      </c>
      <c r="V48" s="57">
        <v>0</v>
      </c>
      <c r="X48" s="55"/>
      <c r="Y48" s="55"/>
    </row>
    <row r="49" spans="1:25" ht="15.75" customHeight="1" x14ac:dyDescent="0.3">
      <c r="A49" s="57"/>
      <c r="B49" s="57"/>
      <c r="C49" s="58"/>
      <c r="D49" s="58"/>
      <c r="E49" s="59"/>
      <c r="F49" s="55" t="s">
        <v>194</v>
      </c>
      <c r="G49" s="55" t="s">
        <v>195</v>
      </c>
      <c r="H49" t="s">
        <v>196</v>
      </c>
      <c r="I49" t="s">
        <v>208</v>
      </c>
      <c r="J49" t="s">
        <v>223</v>
      </c>
      <c r="K49" s="69" t="s">
        <v>1196</v>
      </c>
      <c r="L49" s="69" t="s">
        <v>1197</v>
      </c>
      <c r="M49" s="57">
        <v>-211899.69399618066</v>
      </c>
      <c r="N49" s="57">
        <v>-243051.78702226761</v>
      </c>
      <c r="O49" s="57">
        <v>-272677.44924835459</v>
      </c>
      <c r="Q49">
        <v>30</v>
      </c>
      <c r="R49" t="s">
        <v>1328</v>
      </c>
      <c r="S49" t="s">
        <v>1338</v>
      </c>
      <c r="T49" s="57">
        <v>0</v>
      </c>
      <c r="U49" s="57">
        <v>0</v>
      </c>
      <c r="V49" s="57">
        <v>0</v>
      </c>
      <c r="X49" s="55"/>
      <c r="Y49" s="55"/>
    </row>
    <row r="50" spans="1:25" ht="15.75" customHeight="1" x14ac:dyDescent="0.3">
      <c r="A50" s="57"/>
      <c r="B50" s="57"/>
      <c r="C50" s="58"/>
      <c r="D50" s="58"/>
      <c r="E50" s="59"/>
      <c r="F50" s="55" t="s">
        <v>194</v>
      </c>
      <c r="G50" s="55" t="s">
        <v>195</v>
      </c>
      <c r="H50" t="s">
        <v>196</v>
      </c>
      <c r="I50" t="s">
        <v>208</v>
      </c>
      <c r="J50" t="s">
        <v>223</v>
      </c>
      <c r="K50" s="69" t="s">
        <v>1198</v>
      </c>
      <c r="L50" s="69" t="s">
        <v>1199</v>
      </c>
      <c r="M50" s="57">
        <v>-240229.21526556282</v>
      </c>
      <c r="N50" s="57">
        <v>-268626.59526556282</v>
      </c>
      <c r="O50" s="57">
        <v>-297023.97526556283</v>
      </c>
      <c r="Q50">
        <v>30</v>
      </c>
      <c r="R50" t="s">
        <v>1328</v>
      </c>
      <c r="S50" t="s">
        <v>1338</v>
      </c>
      <c r="T50" s="57">
        <v>0</v>
      </c>
      <c r="U50" s="57">
        <v>0</v>
      </c>
      <c r="V50" s="57">
        <v>0</v>
      </c>
      <c r="X50" s="55"/>
      <c r="Y50" s="55"/>
    </row>
    <row r="51" spans="1:25" ht="15.75" customHeight="1" x14ac:dyDescent="0.3">
      <c r="A51" s="57"/>
      <c r="B51" s="57"/>
      <c r="C51" s="58"/>
      <c r="D51" s="58"/>
      <c r="E51" s="59"/>
      <c r="F51" s="55" t="s">
        <v>194</v>
      </c>
      <c r="G51" s="55" t="s">
        <v>195</v>
      </c>
      <c r="H51" t="s">
        <v>196</v>
      </c>
      <c r="I51" t="s">
        <v>208</v>
      </c>
      <c r="J51" t="s">
        <v>223</v>
      </c>
      <c r="K51" s="69" t="s">
        <v>1200</v>
      </c>
      <c r="L51" s="69" t="s">
        <v>1201</v>
      </c>
      <c r="M51" s="57">
        <v>-231072.38935827636</v>
      </c>
      <c r="N51" s="57">
        <v>-245072.38935827636</v>
      </c>
      <c r="O51" s="57">
        <v>-259072.38935827636</v>
      </c>
      <c r="Q51">
        <v>30</v>
      </c>
      <c r="R51" t="s">
        <v>1328</v>
      </c>
      <c r="S51" t="s">
        <v>1338</v>
      </c>
      <c r="T51" s="57">
        <v>0</v>
      </c>
      <c r="U51" s="57">
        <v>0</v>
      </c>
      <c r="V51" s="57">
        <v>0</v>
      </c>
      <c r="X51" s="55"/>
      <c r="Y51" s="55"/>
    </row>
    <row r="52" spans="1:25" ht="15.75" customHeight="1" x14ac:dyDescent="0.3">
      <c r="A52" s="57"/>
      <c r="B52" s="57"/>
      <c r="C52" s="58"/>
      <c r="D52" s="58"/>
      <c r="E52" s="59"/>
      <c r="F52" s="55" t="s">
        <v>194</v>
      </c>
      <c r="G52" s="55" t="s">
        <v>195</v>
      </c>
      <c r="H52" t="s">
        <v>196</v>
      </c>
      <c r="I52" t="s">
        <v>208</v>
      </c>
      <c r="J52" t="s">
        <v>223</v>
      </c>
      <c r="K52" s="69" t="s">
        <v>1202</v>
      </c>
      <c r="L52" s="69" t="s">
        <v>1203</v>
      </c>
      <c r="M52" s="57">
        <v>0</v>
      </c>
      <c r="N52" s="57">
        <v>-1500</v>
      </c>
      <c r="O52" s="57">
        <v>-3000</v>
      </c>
      <c r="Q52">
        <v>30</v>
      </c>
      <c r="R52" t="s">
        <v>1328</v>
      </c>
      <c r="S52" t="s">
        <v>1338</v>
      </c>
      <c r="T52" s="57">
        <v>0</v>
      </c>
      <c r="U52" s="57">
        <v>0</v>
      </c>
      <c r="V52" s="57">
        <v>0</v>
      </c>
      <c r="X52" s="55"/>
      <c r="Y52" s="55"/>
    </row>
    <row r="53" spans="1:25" ht="15.75" customHeight="1" x14ac:dyDescent="0.3">
      <c r="A53" s="57"/>
      <c r="B53" s="57"/>
      <c r="C53" s="58"/>
      <c r="D53" s="58"/>
      <c r="E53" s="59"/>
      <c r="F53" s="55" t="s">
        <v>194</v>
      </c>
      <c r="G53" s="55" t="s">
        <v>195</v>
      </c>
      <c r="H53" t="s">
        <v>196</v>
      </c>
      <c r="I53" t="s">
        <v>208</v>
      </c>
      <c r="J53" t="s">
        <v>223</v>
      </c>
      <c r="K53" s="69" t="s">
        <v>1204</v>
      </c>
      <c r="L53" s="69" t="s">
        <v>1205</v>
      </c>
      <c r="M53" s="57">
        <v>-21796.354357998629</v>
      </c>
      <c r="N53" s="57">
        <v>-27737.530828586863</v>
      </c>
      <c r="O53" s="57">
        <v>-33678.707299175097</v>
      </c>
      <c r="Q53">
        <v>30</v>
      </c>
      <c r="R53" t="s">
        <v>1328</v>
      </c>
      <c r="S53" t="s">
        <v>1338</v>
      </c>
      <c r="T53" s="57">
        <v>0</v>
      </c>
      <c r="U53" s="57">
        <v>0</v>
      </c>
      <c r="V53" s="57">
        <v>0</v>
      </c>
      <c r="X53" s="55"/>
      <c r="Y53" s="55"/>
    </row>
    <row r="54" spans="1:25" ht="15.75" customHeight="1" x14ac:dyDescent="0.3">
      <c r="A54" s="57"/>
      <c r="B54" s="57"/>
      <c r="C54" s="58"/>
      <c r="D54" s="58"/>
      <c r="E54" s="59"/>
      <c r="F54" s="55" t="s">
        <v>194</v>
      </c>
      <c r="G54" s="55" t="s">
        <v>195</v>
      </c>
      <c r="H54" t="s">
        <v>196</v>
      </c>
      <c r="I54" t="s">
        <v>208</v>
      </c>
      <c r="J54" t="s">
        <v>223</v>
      </c>
      <c r="K54" s="69" t="s">
        <v>1206</v>
      </c>
      <c r="L54" s="69" t="s">
        <v>1205</v>
      </c>
      <c r="M54" s="57">
        <v>-468.4287812041116</v>
      </c>
      <c r="N54" s="57">
        <v>-718.4287812041116</v>
      </c>
      <c r="O54" s="57">
        <v>-968.4287812041116</v>
      </c>
      <c r="Q54">
        <v>30</v>
      </c>
      <c r="R54" t="s">
        <v>1328</v>
      </c>
      <c r="S54" t="s">
        <v>1338</v>
      </c>
      <c r="T54" s="57">
        <v>0</v>
      </c>
      <c r="U54" s="57">
        <v>0</v>
      </c>
      <c r="V54" s="57">
        <v>0</v>
      </c>
      <c r="X54" s="55"/>
      <c r="Y54" s="55"/>
    </row>
    <row r="55" spans="1:25" ht="15.75" customHeight="1" x14ac:dyDescent="0.3">
      <c r="A55" s="57"/>
      <c r="B55" s="57"/>
      <c r="C55" s="58"/>
      <c r="D55" s="58"/>
      <c r="E55" s="59"/>
      <c r="F55" s="55" t="s">
        <v>194</v>
      </c>
      <c r="G55" s="55" t="s">
        <v>195</v>
      </c>
      <c r="H55" t="s">
        <v>196</v>
      </c>
      <c r="I55" t="s">
        <v>208</v>
      </c>
      <c r="J55" t="s">
        <v>223</v>
      </c>
      <c r="K55" s="69" t="s">
        <v>1207</v>
      </c>
      <c r="L55" s="69" t="s">
        <v>1208</v>
      </c>
      <c r="M55" s="57">
        <v>-7772.7257671182915</v>
      </c>
      <c r="N55" s="57">
        <v>-10250.986636683509</v>
      </c>
      <c r="O55" s="57">
        <v>-12729.247506248726</v>
      </c>
      <c r="Q55">
        <v>30</v>
      </c>
      <c r="R55" t="s">
        <v>1328</v>
      </c>
      <c r="S55" t="s">
        <v>1338</v>
      </c>
      <c r="T55" s="57">
        <v>0</v>
      </c>
      <c r="U55" s="57">
        <v>0</v>
      </c>
      <c r="V55" s="57">
        <v>0</v>
      </c>
      <c r="X55" s="55"/>
      <c r="Y55" s="55"/>
    </row>
    <row r="56" spans="1:25" ht="15.75" customHeight="1" x14ac:dyDescent="0.3">
      <c r="A56" s="57" t="s">
        <v>194</v>
      </c>
      <c r="B56" s="57" t="s">
        <v>195</v>
      </c>
      <c r="C56" s="58" t="s">
        <v>1177</v>
      </c>
      <c r="D56" s="58" t="s">
        <v>121</v>
      </c>
      <c r="E56" s="59" t="s">
        <v>1209</v>
      </c>
      <c r="F56" s="55" t="s">
        <v>194</v>
      </c>
      <c r="G56" s="55" t="s">
        <v>195</v>
      </c>
      <c r="H56" t="s">
        <v>196</v>
      </c>
      <c r="I56" t="s">
        <v>208</v>
      </c>
      <c r="J56" t="s">
        <v>121</v>
      </c>
      <c r="K56" s="60">
        <v>11202000001</v>
      </c>
      <c r="L56" s="60" t="s">
        <v>240</v>
      </c>
      <c r="M56" s="57">
        <v>854702.43</v>
      </c>
      <c r="N56" s="57">
        <v>876171.53</v>
      </c>
      <c r="O56" s="57">
        <v>1414095.89</v>
      </c>
      <c r="Q56">
        <v>35</v>
      </c>
      <c r="R56" t="s">
        <v>1329</v>
      </c>
      <c r="S56" t="s">
        <v>1339</v>
      </c>
      <c r="T56" s="57">
        <v>854702.43</v>
      </c>
      <c r="U56" s="57">
        <v>876171.53</v>
      </c>
      <c r="V56" s="57">
        <v>1414095.89</v>
      </c>
      <c r="X56" s="55"/>
      <c r="Y56" s="55"/>
    </row>
    <row r="57" spans="1:25" ht="15.75" customHeight="1" x14ac:dyDescent="0.3">
      <c r="A57" s="57" t="s">
        <v>194</v>
      </c>
      <c r="B57" s="57" t="s">
        <v>195</v>
      </c>
      <c r="C57" s="58" t="s">
        <v>1177</v>
      </c>
      <c r="D57" s="58" t="s">
        <v>121</v>
      </c>
      <c r="E57" s="59" t="s">
        <v>1209</v>
      </c>
      <c r="F57" s="55" t="s">
        <v>194</v>
      </c>
      <c r="G57" s="55" t="s">
        <v>195</v>
      </c>
      <c r="H57" t="s">
        <v>196</v>
      </c>
      <c r="I57" t="s">
        <v>208</v>
      </c>
      <c r="J57" t="s">
        <v>121</v>
      </c>
      <c r="K57" s="60">
        <v>11202000002</v>
      </c>
      <c r="L57" s="60" t="s">
        <v>241</v>
      </c>
      <c r="M57" s="57">
        <v>-570158.1</v>
      </c>
      <c r="N57" s="57">
        <v>-607896.27</v>
      </c>
      <c r="O57" s="57">
        <v>-670119.22</v>
      </c>
      <c r="Q57">
        <v>35</v>
      </c>
      <c r="R57" t="s">
        <v>1329</v>
      </c>
      <c r="S57" t="s">
        <v>1340</v>
      </c>
      <c r="T57" s="57">
        <v>-570158.1</v>
      </c>
      <c r="U57" s="57">
        <v>-607896.27</v>
      </c>
      <c r="V57" s="57">
        <v>-670119.22</v>
      </c>
      <c r="X57" s="55"/>
      <c r="Y57" s="55"/>
    </row>
    <row r="58" spans="1:25" ht="15.75" customHeight="1" x14ac:dyDescent="0.3">
      <c r="A58" s="57" t="s">
        <v>194</v>
      </c>
      <c r="B58" s="57" t="s">
        <v>195</v>
      </c>
      <c r="C58" s="58" t="s">
        <v>1177</v>
      </c>
      <c r="D58" s="58" t="s">
        <v>121</v>
      </c>
      <c r="E58" s="59" t="s">
        <v>1209</v>
      </c>
      <c r="F58" s="55" t="s">
        <v>194</v>
      </c>
      <c r="G58" s="55" t="s">
        <v>195</v>
      </c>
      <c r="H58" t="s">
        <v>196</v>
      </c>
      <c r="I58" t="s">
        <v>208</v>
      </c>
      <c r="J58" t="s">
        <v>121</v>
      </c>
      <c r="K58" s="60">
        <v>11202000003</v>
      </c>
      <c r="L58" s="60" t="s">
        <v>242</v>
      </c>
      <c r="M58" s="57">
        <v>343837.52</v>
      </c>
      <c r="N58" s="57">
        <v>343837.52</v>
      </c>
      <c r="O58" s="57">
        <v>353190.5</v>
      </c>
      <c r="Q58">
        <v>35</v>
      </c>
      <c r="R58" t="s">
        <v>1329</v>
      </c>
      <c r="S58" t="s">
        <v>1339</v>
      </c>
      <c r="T58" s="57">
        <v>343837.52</v>
      </c>
      <c r="U58" s="57">
        <v>343837.52</v>
      </c>
      <c r="V58" s="57">
        <v>353190.5</v>
      </c>
      <c r="X58" s="55"/>
      <c r="Y58" s="55"/>
    </row>
    <row r="59" spans="1:25" ht="15.75" customHeight="1" x14ac:dyDescent="0.3">
      <c r="A59" s="57" t="s">
        <v>194</v>
      </c>
      <c r="B59" s="57" t="s">
        <v>195</v>
      </c>
      <c r="C59" s="58" t="s">
        <v>1177</v>
      </c>
      <c r="D59" s="58" t="s">
        <v>121</v>
      </c>
      <c r="E59" s="59" t="s">
        <v>1209</v>
      </c>
      <c r="F59" s="55" t="s">
        <v>194</v>
      </c>
      <c r="G59" s="55" t="s">
        <v>195</v>
      </c>
      <c r="H59" t="s">
        <v>196</v>
      </c>
      <c r="I59" t="s">
        <v>208</v>
      </c>
      <c r="J59" t="s">
        <v>121</v>
      </c>
      <c r="K59" s="60">
        <v>11202000004</v>
      </c>
      <c r="L59" s="60" t="s">
        <v>243</v>
      </c>
      <c r="M59" s="57">
        <v>-238288.74</v>
      </c>
      <c r="N59" s="57">
        <v>-265669.08</v>
      </c>
      <c r="O59" s="57">
        <v>-286112.89</v>
      </c>
      <c r="Q59">
        <v>35</v>
      </c>
      <c r="R59" t="s">
        <v>1329</v>
      </c>
      <c r="S59" t="s">
        <v>1340</v>
      </c>
      <c r="T59" s="57">
        <v>-238288.74</v>
      </c>
      <c r="U59" s="57">
        <v>-265669.08</v>
      </c>
      <c r="V59" s="57">
        <v>-286112.89</v>
      </c>
      <c r="X59" s="55"/>
      <c r="Y59" s="55"/>
    </row>
    <row r="60" spans="1:25" ht="15.75" customHeight="1" x14ac:dyDescent="0.3">
      <c r="A60" s="57" t="s">
        <v>194</v>
      </c>
      <c r="B60" s="57" t="s">
        <v>195</v>
      </c>
      <c r="C60" s="58" t="s">
        <v>1177</v>
      </c>
      <c r="D60" s="58" t="s">
        <v>121</v>
      </c>
      <c r="E60" s="59" t="s">
        <v>1209</v>
      </c>
      <c r="F60" s="55" t="s">
        <v>194</v>
      </c>
      <c r="G60" s="55" t="s">
        <v>195</v>
      </c>
      <c r="H60" t="s">
        <v>196</v>
      </c>
      <c r="I60" t="s">
        <v>208</v>
      </c>
      <c r="J60" t="s">
        <v>121</v>
      </c>
      <c r="K60" s="60">
        <v>11202000005</v>
      </c>
      <c r="L60" s="60" t="s">
        <v>244</v>
      </c>
      <c r="M60" s="57">
        <v>35240.21</v>
      </c>
      <c r="N60" s="57">
        <v>35240.21</v>
      </c>
      <c r="O60" s="57">
        <v>35240.21</v>
      </c>
      <c r="Q60">
        <v>35</v>
      </c>
      <c r="R60" t="s">
        <v>1329</v>
      </c>
      <c r="S60" t="s">
        <v>1339</v>
      </c>
      <c r="T60" s="57">
        <v>35240.21</v>
      </c>
      <c r="U60" s="57">
        <v>35240.21</v>
      </c>
      <c r="V60" s="57">
        <v>35240.21</v>
      </c>
      <c r="X60" s="55"/>
      <c r="Y60" s="55"/>
    </row>
    <row r="61" spans="1:25" ht="15.75" customHeight="1" x14ac:dyDescent="0.3">
      <c r="A61" s="57" t="s">
        <v>194</v>
      </c>
      <c r="B61" s="57" t="s">
        <v>195</v>
      </c>
      <c r="C61" s="58" t="s">
        <v>1177</v>
      </c>
      <c r="D61" s="58" t="s">
        <v>121</v>
      </c>
      <c r="E61" s="59" t="s">
        <v>1209</v>
      </c>
      <c r="F61" s="55" t="s">
        <v>194</v>
      </c>
      <c r="G61" s="55" t="s">
        <v>195</v>
      </c>
      <c r="H61" t="s">
        <v>196</v>
      </c>
      <c r="I61" t="s">
        <v>208</v>
      </c>
      <c r="J61" t="s">
        <v>121</v>
      </c>
      <c r="K61" s="60">
        <v>11202000006</v>
      </c>
      <c r="L61" s="60" t="s">
        <v>245</v>
      </c>
      <c r="M61" s="57">
        <v>-29162.43</v>
      </c>
      <c r="N61" s="57">
        <v>-32334.05</v>
      </c>
      <c r="O61" s="57">
        <v>-35214.25</v>
      </c>
      <c r="Q61">
        <v>35</v>
      </c>
      <c r="R61" t="s">
        <v>1329</v>
      </c>
      <c r="S61" t="s">
        <v>1340</v>
      </c>
      <c r="T61" s="57">
        <v>-29162.43</v>
      </c>
      <c r="U61" s="57">
        <v>-32334.05</v>
      </c>
      <c r="V61" s="57">
        <v>-35214.25</v>
      </c>
      <c r="X61" s="55"/>
      <c r="Y61" s="55"/>
    </row>
    <row r="62" spans="1:25" ht="15.75" customHeight="1" x14ac:dyDescent="0.3">
      <c r="A62" s="57" t="s">
        <v>194</v>
      </c>
      <c r="B62" s="57" t="s">
        <v>195</v>
      </c>
      <c r="C62" s="58" t="s">
        <v>1177</v>
      </c>
      <c r="D62" s="58" t="s">
        <v>121</v>
      </c>
      <c r="E62" s="59" t="s">
        <v>1209</v>
      </c>
      <c r="F62" s="55" t="s">
        <v>194</v>
      </c>
      <c r="G62" s="55" t="s">
        <v>195</v>
      </c>
      <c r="H62" t="s">
        <v>196</v>
      </c>
      <c r="I62" t="s">
        <v>208</v>
      </c>
      <c r="J62" t="s">
        <v>121</v>
      </c>
      <c r="K62" s="60">
        <v>11202000007</v>
      </c>
      <c r="L62" s="60" t="s">
        <v>246</v>
      </c>
      <c r="M62" s="57">
        <v>3145148.45</v>
      </c>
      <c r="N62" s="57">
        <v>3228270.78</v>
      </c>
      <c r="O62" s="57">
        <v>4269527.12</v>
      </c>
      <c r="Q62">
        <v>35</v>
      </c>
      <c r="R62" t="s">
        <v>1329</v>
      </c>
      <c r="S62" t="s">
        <v>1339</v>
      </c>
      <c r="T62" s="57">
        <v>3145148.45</v>
      </c>
      <c r="U62" s="57">
        <v>3228270.78</v>
      </c>
      <c r="V62" s="57">
        <v>4269527.12</v>
      </c>
      <c r="X62" s="55"/>
      <c r="Y62" s="55"/>
    </row>
    <row r="63" spans="1:25" ht="15.75" customHeight="1" x14ac:dyDescent="0.3">
      <c r="A63" s="57" t="s">
        <v>194</v>
      </c>
      <c r="B63" s="57" t="s">
        <v>195</v>
      </c>
      <c r="C63" s="58" t="s">
        <v>1177</v>
      </c>
      <c r="D63" s="58" t="s">
        <v>121</v>
      </c>
      <c r="E63" s="59" t="s">
        <v>1209</v>
      </c>
      <c r="F63" s="55" t="s">
        <v>194</v>
      </c>
      <c r="G63" s="55" t="s">
        <v>195</v>
      </c>
      <c r="H63" t="s">
        <v>196</v>
      </c>
      <c r="I63" t="s">
        <v>208</v>
      </c>
      <c r="J63" t="s">
        <v>121</v>
      </c>
      <c r="K63" s="60">
        <v>11202000008</v>
      </c>
      <c r="L63" s="60" t="s">
        <v>247</v>
      </c>
      <c r="M63" s="57">
        <v>-2405293.59</v>
      </c>
      <c r="N63" s="57">
        <v>-2581452.19</v>
      </c>
      <c r="O63" s="57">
        <v>-2817860.98</v>
      </c>
      <c r="Q63">
        <v>35</v>
      </c>
      <c r="R63" t="s">
        <v>1329</v>
      </c>
      <c r="S63" t="s">
        <v>1340</v>
      </c>
      <c r="T63" s="57">
        <v>-2405293.59</v>
      </c>
      <c r="U63" s="57">
        <v>-2581452.19</v>
      </c>
      <c r="V63" s="57">
        <v>-2817860.98</v>
      </c>
      <c r="X63" s="55"/>
      <c r="Y63" s="55"/>
    </row>
    <row r="64" spans="1:25" ht="15.75" customHeight="1" x14ac:dyDescent="0.3">
      <c r="A64" s="57" t="s">
        <v>194</v>
      </c>
      <c r="B64" s="57" t="s">
        <v>195</v>
      </c>
      <c r="C64" s="58" t="s">
        <v>1177</v>
      </c>
      <c r="D64" s="58" t="s">
        <v>121</v>
      </c>
      <c r="E64" s="59" t="s">
        <v>1209</v>
      </c>
      <c r="F64" s="55" t="s">
        <v>194</v>
      </c>
      <c r="G64" s="55" t="s">
        <v>195</v>
      </c>
      <c r="H64" t="s">
        <v>196</v>
      </c>
      <c r="I64" t="s">
        <v>208</v>
      </c>
      <c r="J64" t="s">
        <v>121</v>
      </c>
      <c r="K64" s="60">
        <v>11202000009</v>
      </c>
      <c r="L64" s="60" t="s">
        <v>248</v>
      </c>
      <c r="M64" s="57">
        <v>1605795.73</v>
      </c>
      <c r="N64" s="57">
        <v>1605795.73</v>
      </c>
      <c r="O64" s="57">
        <v>1605795.73</v>
      </c>
      <c r="Q64">
        <v>35</v>
      </c>
      <c r="R64" t="s">
        <v>1329</v>
      </c>
      <c r="S64" t="s">
        <v>1339</v>
      </c>
      <c r="T64" s="57">
        <v>1605795.73</v>
      </c>
      <c r="U64" s="57">
        <v>1605795.73</v>
      </c>
      <c r="V64" s="57">
        <v>1605795.73</v>
      </c>
      <c r="X64" s="55"/>
      <c r="Y64" s="55"/>
    </row>
    <row r="65" spans="1:25" ht="15.75" customHeight="1" x14ac:dyDescent="0.3">
      <c r="A65" s="57" t="s">
        <v>194</v>
      </c>
      <c r="B65" s="57" t="s">
        <v>195</v>
      </c>
      <c r="C65" s="58" t="s">
        <v>1177</v>
      </c>
      <c r="D65" s="58" t="s">
        <v>121</v>
      </c>
      <c r="E65" s="59" t="s">
        <v>1209</v>
      </c>
      <c r="F65" s="55" t="s">
        <v>194</v>
      </c>
      <c r="G65" s="55" t="s">
        <v>195</v>
      </c>
      <c r="H65" t="s">
        <v>196</v>
      </c>
      <c r="I65" t="s">
        <v>208</v>
      </c>
      <c r="J65" t="s">
        <v>121</v>
      </c>
      <c r="K65" s="60">
        <v>11202000010</v>
      </c>
      <c r="L65" s="60" t="s">
        <v>249</v>
      </c>
      <c r="M65" s="57">
        <v>-1595200.45</v>
      </c>
      <c r="N65" s="57">
        <v>-1605795.73</v>
      </c>
      <c r="O65" s="57">
        <v>-1605795.73</v>
      </c>
      <c r="Q65">
        <v>35</v>
      </c>
      <c r="R65" t="s">
        <v>1329</v>
      </c>
      <c r="S65" t="s">
        <v>1340</v>
      </c>
      <c r="T65" s="57">
        <v>-1595200.45</v>
      </c>
      <c r="U65" s="57">
        <v>-1605795.73</v>
      </c>
      <c r="V65" s="57">
        <v>-1605795.73</v>
      </c>
      <c r="X65" s="55"/>
      <c r="Y65" s="55"/>
    </row>
    <row r="66" spans="1:25" ht="15.75" customHeight="1" x14ac:dyDescent="0.3">
      <c r="A66" s="57" t="s">
        <v>194</v>
      </c>
      <c r="B66" s="57" t="s">
        <v>195</v>
      </c>
      <c r="C66" s="58" t="s">
        <v>1177</v>
      </c>
      <c r="D66" s="58" t="s">
        <v>121</v>
      </c>
      <c r="E66" s="59" t="s">
        <v>1209</v>
      </c>
      <c r="F66" s="55" t="s">
        <v>194</v>
      </c>
      <c r="G66" s="55" t="s">
        <v>195</v>
      </c>
      <c r="H66" t="s">
        <v>196</v>
      </c>
      <c r="I66" t="s">
        <v>208</v>
      </c>
      <c r="J66" t="s">
        <v>121</v>
      </c>
      <c r="K66" s="60">
        <v>11202000011</v>
      </c>
      <c r="L66" s="60" t="s">
        <v>250</v>
      </c>
      <c r="M66" s="57">
        <v>93905.26</v>
      </c>
      <c r="N66" s="57">
        <v>93905.26</v>
      </c>
      <c r="O66" s="57">
        <v>93905.26</v>
      </c>
      <c r="Q66">
        <v>35</v>
      </c>
      <c r="R66" t="s">
        <v>1329</v>
      </c>
      <c r="S66" t="s">
        <v>1339</v>
      </c>
      <c r="T66" s="57">
        <v>93905.26</v>
      </c>
      <c r="U66" s="57">
        <v>93905.26</v>
      </c>
      <c r="V66" s="57">
        <v>93905.26</v>
      </c>
      <c r="X66" s="55"/>
      <c r="Y66" s="55"/>
    </row>
    <row r="67" spans="1:25" ht="15.75" customHeight="1" x14ac:dyDescent="0.3">
      <c r="A67" s="57" t="s">
        <v>194</v>
      </c>
      <c r="B67" s="57" t="s">
        <v>195</v>
      </c>
      <c r="C67" s="58" t="s">
        <v>1177</v>
      </c>
      <c r="D67" s="58" t="s">
        <v>121</v>
      </c>
      <c r="E67" s="59" t="s">
        <v>1209</v>
      </c>
      <c r="F67" s="55" t="s">
        <v>194</v>
      </c>
      <c r="G67" s="55" t="s">
        <v>195</v>
      </c>
      <c r="H67" t="s">
        <v>196</v>
      </c>
      <c r="I67" t="s">
        <v>208</v>
      </c>
      <c r="J67" t="s">
        <v>121</v>
      </c>
      <c r="K67" s="60">
        <v>11202000012</v>
      </c>
      <c r="L67" s="60" t="s">
        <v>251</v>
      </c>
      <c r="M67" s="57">
        <v>-93905.26</v>
      </c>
      <c r="N67" s="57">
        <v>-93905.26</v>
      </c>
      <c r="O67" s="57">
        <v>-93905.26</v>
      </c>
      <c r="Q67">
        <v>35</v>
      </c>
      <c r="R67" t="s">
        <v>1329</v>
      </c>
      <c r="S67" t="s">
        <v>1340</v>
      </c>
      <c r="T67" s="57">
        <v>-93905.26</v>
      </c>
      <c r="U67" s="57">
        <v>-93905.26</v>
      </c>
      <c r="V67" s="57">
        <v>-93905.26</v>
      </c>
      <c r="X67" s="55"/>
      <c r="Y67" s="55"/>
    </row>
    <row r="68" spans="1:25" ht="15.75" customHeight="1" x14ac:dyDescent="0.3">
      <c r="A68" s="57" t="s">
        <v>194</v>
      </c>
      <c r="B68" s="57" t="s">
        <v>195</v>
      </c>
      <c r="C68" s="58" t="s">
        <v>1177</v>
      </c>
      <c r="D68" s="58" t="s">
        <v>121</v>
      </c>
      <c r="E68" s="59" t="s">
        <v>1209</v>
      </c>
      <c r="F68" s="55" t="s">
        <v>194</v>
      </c>
      <c r="G68" s="55" t="s">
        <v>195</v>
      </c>
      <c r="H68" t="s">
        <v>196</v>
      </c>
      <c r="I68" t="s">
        <v>208</v>
      </c>
      <c r="J68" t="s">
        <v>121</v>
      </c>
      <c r="K68" s="60">
        <v>11202000013</v>
      </c>
      <c r="L68" s="60" t="s">
        <v>252</v>
      </c>
      <c r="M68" s="57">
        <v>15325.56</v>
      </c>
      <c r="N68" s="57">
        <v>15325.56</v>
      </c>
      <c r="O68" s="57">
        <v>45540.12</v>
      </c>
      <c r="Q68">
        <v>35</v>
      </c>
      <c r="R68" t="s">
        <v>1329</v>
      </c>
      <c r="S68" t="s">
        <v>1339</v>
      </c>
      <c r="T68" s="57">
        <v>15325.56</v>
      </c>
      <c r="U68" s="57">
        <v>15325.56</v>
      </c>
      <c r="V68" s="57">
        <v>45540.12</v>
      </c>
      <c r="X68" s="55"/>
      <c r="Y68" s="55"/>
    </row>
    <row r="69" spans="1:25" ht="15.75" customHeight="1" x14ac:dyDescent="0.3">
      <c r="A69" s="57" t="s">
        <v>194</v>
      </c>
      <c r="B69" s="57" t="s">
        <v>195</v>
      </c>
      <c r="C69" s="58" t="s">
        <v>1177</v>
      </c>
      <c r="D69" s="58" t="s">
        <v>121</v>
      </c>
      <c r="E69" s="59" t="s">
        <v>1209</v>
      </c>
      <c r="F69" s="55" t="s">
        <v>194</v>
      </c>
      <c r="G69" s="55" t="s">
        <v>195</v>
      </c>
      <c r="H69" t="s">
        <v>196</v>
      </c>
      <c r="I69" t="s">
        <v>208</v>
      </c>
      <c r="J69" t="s">
        <v>121</v>
      </c>
      <c r="K69" s="60">
        <v>11202000014</v>
      </c>
      <c r="L69" s="60" t="s">
        <v>253</v>
      </c>
      <c r="M69" s="57">
        <v>-5937.94</v>
      </c>
      <c r="N69" s="57">
        <v>-7201.74</v>
      </c>
      <c r="O69" s="57">
        <v>-9940.7000000000007</v>
      </c>
      <c r="Q69">
        <v>35</v>
      </c>
      <c r="R69" t="s">
        <v>1329</v>
      </c>
      <c r="S69" t="s">
        <v>1340</v>
      </c>
      <c r="T69" s="57">
        <v>-5937.94</v>
      </c>
      <c r="U69" s="57">
        <v>-7201.74</v>
      </c>
      <c r="V69" s="57">
        <v>-9940.7000000000007</v>
      </c>
      <c r="X69" s="55"/>
      <c r="Y69" s="55"/>
    </row>
    <row r="70" spans="1:25" ht="15.75" customHeight="1" x14ac:dyDescent="0.3">
      <c r="A70" s="57" t="s">
        <v>194</v>
      </c>
      <c r="B70" s="57" t="s">
        <v>195</v>
      </c>
      <c r="C70" s="58" t="s">
        <v>1177</v>
      </c>
      <c r="D70" s="58" t="s">
        <v>121</v>
      </c>
      <c r="E70" s="59" t="s">
        <v>1209</v>
      </c>
      <c r="F70" s="55" t="s">
        <v>194</v>
      </c>
      <c r="G70" s="55" t="s">
        <v>195</v>
      </c>
      <c r="H70" t="s">
        <v>196</v>
      </c>
      <c r="I70" t="s">
        <v>208</v>
      </c>
      <c r="J70" t="s">
        <v>121</v>
      </c>
      <c r="K70" s="60">
        <v>11202000015</v>
      </c>
      <c r="L70" s="60" t="s">
        <v>254</v>
      </c>
      <c r="M70" s="57">
        <v>20760.28</v>
      </c>
      <c r="N70" s="57">
        <v>20760.28</v>
      </c>
      <c r="O70" s="57">
        <v>20760.28</v>
      </c>
      <c r="Q70">
        <v>35</v>
      </c>
      <c r="R70" t="s">
        <v>1329</v>
      </c>
      <c r="S70" t="s">
        <v>1339</v>
      </c>
      <c r="T70" s="57">
        <v>20760.28</v>
      </c>
      <c r="U70" s="57">
        <v>20760.28</v>
      </c>
      <c r="V70" s="57">
        <v>20760.28</v>
      </c>
      <c r="X70" s="55"/>
      <c r="Y70" s="55"/>
    </row>
    <row r="71" spans="1:25" ht="15.75" customHeight="1" x14ac:dyDescent="0.3">
      <c r="A71" s="57" t="s">
        <v>194</v>
      </c>
      <c r="B71" s="57" t="s">
        <v>195</v>
      </c>
      <c r="C71" s="58" t="s">
        <v>1177</v>
      </c>
      <c r="D71" s="58" t="s">
        <v>121</v>
      </c>
      <c r="E71" s="59" t="s">
        <v>1209</v>
      </c>
      <c r="F71" s="55" t="s">
        <v>194</v>
      </c>
      <c r="G71" s="55" t="s">
        <v>195</v>
      </c>
      <c r="H71" t="s">
        <v>196</v>
      </c>
      <c r="I71" t="s">
        <v>208</v>
      </c>
      <c r="J71" t="s">
        <v>121</v>
      </c>
      <c r="K71" s="60">
        <v>11202000016</v>
      </c>
      <c r="L71" s="60" t="s">
        <v>255</v>
      </c>
      <c r="M71" s="57">
        <v>-19730.28</v>
      </c>
      <c r="N71" s="57">
        <v>-19762.22</v>
      </c>
      <c r="O71" s="57">
        <v>-20760.28</v>
      </c>
      <c r="Q71">
        <v>35</v>
      </c>
      <c r="R71" t="s">
        <v>1329</v>
      </c>
      <c r="S71" t="s">
        <v>1340</v>
      </c>
      <c r="T71" s="57">
        <v>-19730.28</v>
      </c>
      <c r="U71" s="57">
        <v>-19762.22</v>
      </c>
      <c r="V71" s="57">
        <v>-20760.28</v>
      </c>
      <c r="X71" s="55"/>
      <c r="Y71" s="55"/>
    </row>
    <row r="72" spans="1:25" ht="15.75" customHeight="1" x14ac:dyDescent="0.3">
      <c r="A72" s="57" t="s">
        <v>194</v>
      </c>
      <c r="B72" s="57" t="s">
        <v>195</v>
      </c>
      <c r="C72" s="58" t="s">
        <v>1177</v>
      </c>
      <c r="D72" s="58" t="s">
        <v>121</v>
      </c>
      <c r="E72" s="59" t="s">
        <v>1209</v>
      </c>
      <c r="F72" s="55" t="s">
        <v>194</v>
      </c>
      <c r="G72" s="55" t="s">
        <v>195</v>
      </c>
      <c r="H72" t="s">
        <v>196</v>
      </c>
      <c r="I72" t="s">
        <v>208</v>
      </c>
      <c r="J72" t="s">
        <v>121</v>
      </c>
      <c r="K72" s="60">
        <v>11202000017</v>
      </c>
      <c r="L72" s="60" t="s">
        <v>256</v>
      </c>
      <c r="M72" s="57">
        <v>198837.6</v>
      </c>
      <c r="N72" s="57">
        <v>198837.6</v>
      </c>
      <c r="O72" s="57">
        <v>198837.6</v>
      </c>
      <c r="Q72">
        <v>35</v>
      </c>
      <c r="R72" t="s">
        <v>1329</v>
      </c>
      <c r="S72" t="s">
        <v>1339</v>
      </c>
      <c r="T72" s="57">
        <v>198837.6</v>
      </c>
      <c r="U72" s="57">
        <v>198837.6</v>
      </c>
      <c r="V72" s="57">
        <v>198837.6</v>
      </c>
      <c r="X72" s="55"/>
      <c r="Y72" s="55"/>
    </row>
    <row r="73" spans="1:25" ht="15.75" customHeight="1" x14ac:dyDescent="0.3">
      <c r="A73" s="57" t="s">
        <v>194</v>
      </c>
      <c r="B73" s="57" t="s">
        <v>195</v>
      </c>
      <c r="C73" s="58" t="s">
        <v>1177</v>
      </c>
      <c r="D73" s="58" t="s">
        <v>121</v>
      </c>
      <c r="E73" s="59" t="s">
        <v>1209</v>
      </c>
      <c r="F73" s="55" t="s">
        <v>194</v>
      </c>
      <c r="G73" s="55" t="s">
        <v>195</v>
      </c>
      <c r="H73" t="s">
        <v>196</v>
      </c>
      <c r="I73" t="s">
        <v>208</v>
      </c>
      <c r="J73" t="s">
        <v>121</v>
      </c>
      <c r="K73" s="60">
        <v>11202000018</v>
      </c>
      <c r="L73" s="60" t="s">
        <v>257</v>
      </c>
      <c r="M73" s="57">
        <v>-162807.93</v>
      </c>
      <c r="N73" s="57">
        <v>-187492.3</v>
      </c>
      <c r="O73" s="57">
        <v>-198837.6</v>
      </c>
      <c r="Q73">
        <v>35</v>
      </c>
      <c r="R73" t="s">
        <v>1329</v>
      </c>
      <c r="S73" t="s">
        <v>1340</v>
      </c>
      <c r="T73" s="57">
        <v>-162807.93</v>
      </c>
      <c r="U73" s="57">
        <v>-187492.3</v>
      </c>
      <c r="V73" s="57">
        <v>-198837.6</v>
      </c>
      <c r="X73" s="55"/>
      <c r="Y73" s="55"/>
    </row>
    <row r="74" spans="1:25" ht="15.75" customHeight="1" x14ac:dyDescent="0.3">
      <c r="A74" s="57" t="s">
        <v>194</v>
      </c>
      <c r="B74" s="57" t="s">
        <v>195</v>
      </c>
      <c r="C74" s="58" t="s">
        <v>1177</v>
      </c>
      <c r="D74" s="58" t="s">
        <v>121</v>
      </c>
      <c r="E74" s="59" t="s">
        <v>1209</v>
      </c>
      <c r="F74" s="55" t="s">
        <v>194</v>
      </c>
      <c r="G74" s="55" t="s">
        <v>195</v>
      </c>
      <c r="H74" t="s">
        <v>196</v>
      </c>
      <c r="I74" t="s">
        <v>208</v>
      </c>
      <c r="J74" t="s">
        <v>121</v>
      </c>
      <c r="K74" s="60">
        <v>11202000019</v>
      </c>
      <c r="L74" s="60" t="s">
        <v>258</v>
      </c>
      <c r="M74" s="57">
        <v>10679.01</v>
      </c>
      <c r="N74" s="57">
        <v>10679.01</v>
      </c>
      <c r="O74" s="57">
        <v>10679.01</v>
      </c>
      <c r="Q74">
        <v>35</v>
      </c>
      <c r="R74" t="s">
        <v>1329</v>
      </c>
      <c r="S74" t="s">
        <v>1339</v>
      </c>
      <c r="T74" s="57">
        <v>10679.01</v>
      </c>
      <c r="U74" s="57">
        <v>10679.01</v>
      </c>
      <c r="V74" s="57">
        <v>10679.01</v>
      </c>
      <c r="X74" s="55"/>
      <c r="Y74" s="55"/>
    </row>
    <row r="75" spans="1:25" ht="15.75" customHeight="1" x14ac:dyDescent="0.3">
      <c r="A75" s="57" t="s">
        <v>194</v>
      </c>
      <c r="B75" s="57" t="s">
        <v>195</v>
      </c>
      <c r="C75" s="58" t="s">
        <v>1177</v>
      </c>
      <c r="D75" s="58" t="s">
        <v>121</v>
      </c>
      <c r="E75" s="59" t="s">
        <v>1209</v>
      </c>
      <c r="F75" s="55" t="s">
        <v>194</v>
      </c>
      <c r="G75" s="55" t="s">
        <v>195</v>
      </c>
      <c r="H75" t="s">
        <v>196</v>
      </c>
      <c r="I75" t="s">
        <v>208</v>
      </c>
      <c r="J75" t="s">
        <v>121</v>
      </c>
      <c r="K75" s="60">
        <v>11202000020</v>
      </c>
      <c r="L75" s="60" t="s">
        <v>259</v>
      </c>
      <c r="M75" s="57">
        <v>-10679.01</v>
      </c>
      <c r="N75" s="57">
        <v>-10679.01</v>
      </c>
      <c r="O75" s="57">
        <v>-10679.01</v>
      </c>
      <c r="Q75">
        <v>35</v>
      </c>
      <c r="R75" t="s">
        <v>1329</v>
      </c>
      <c r="S75" t="s">
        <v>1340</v>
      </c>
      <c r="T75" s="57">
        <v>-10679.01</v>
      </c>
      <c r="U75" s="57">
        <v>-10679.01</v>
      </c>
      <c r="V75" s="57">
        <v>-10679.01</v>
      </c>
      <c r="X75" s="55"/>
      <c r="Y75" s="55"/>
    </row>
    <row r="76" spans="1:25" ht="15.75" customHeight="1" x14ac:dyDescent="0.3">
      <c r="A76" s="57" t="s">
        <v>194</v>
      </c>
      <c r="B76" s="57" t="s">
        <v>195</v>
      </c>
      <c r="C76" s="58" t="s">
        <v>1177</v>
      </c>
      <c r="D76" s="58" t="s">
        <v>1210</v>
      </c>
      <c r="E76" s="59" t="s">
        <v>1211</v>
      </c>
      <c r="F76" s="55" t="s">
        <v>194</v>
      </c>
      <c r="G76" s="55" t="s">
        <v>195</v>
      </c>
      <c r="H76" t="s">
        <v>196</v>
      </c>
      <c r="I76" t="s">
        <v>208</v>
      </c>
      <c r="J76" t="s">
        <v>260</v>
      </c>
      <c r="K76" s="60">
        <v>11203000001</v>
      </c>
      <c r="L76" s="60" t="s">
        <v>261</v>
      </c>
      <c r="M76" s="57">
        <v>857634.74</v>
      </c>
      <c r="N76" s="57">
        <v>880535.87</v>
      </c>
      <c r="O76" s="57">
        <v>919254.47</v>
      </c>
      <c r="Q76">
        <v>35</v>
      </c>
      <c r="R76" t="s">
        <v>1330</v>
      </c>
      <c r="S76" t="s">
        <v>1341</v>
      </c>
      <c r="T76" s="57">
        <v>857634.74</v>
      </c>
      <c r="U76" s="57">
        <v>880535.87</v>
      </c>
      <c r="V76" s="57">
        <v>919254.47</v>
      </c>
      <c r="X76" s="55"/>
      <c r="Y76" s="55"/>
    </row>
    <row r="77" spans="1:25" ht="15.75" customHeight="1" x14ac:dyDescent="0.3">
      <c r="A77" s="57" t="s">
        <v>194</v>
      </c>
      <c r="B77" s="57" t="s">
        <v>195</v>
      </c>
      <c r="C77" s="58" t="s">
        <v>1177</v>
      </c>
      <c r="D77" s="58" t="s">
        <v>1210</v>
      </c>
      <c r="E77" s="59" t="s">
        <v>1211</v>
      </c>
      <c r="F77" s="55" t="s">
        <v>194</v>
      </c>
      <c r="G77" s="55" t="s">
        <v>195</v>
      </c>
      <c r="H77" t="s">
        <v>196</v>
      </c>
      <c r="I77" t="s">
        <v>208</v>
      </c>
      <c r="J77" t="s">
        <v>260</v>
      </c>
      <c r="K77" s="60">
        <v>11203000002</v>
      </c>
      <c r="L77" s="60" t="s">
        <v>262</v>
      </c>
      <c r="M77" s="57">
        <v>-773167.13</v>
      </c>
      <c r="N77" s="57">
        <v>-802152.46</v>
      </c>
      <c r="O77" s="57">
        <v>-829661.06</v>
      </c>
      <c r="Q77">
        <v>35</v>
      </c>
      <c r="R77" t="s">
        <v>1330</v>
      </c>
      <c r="S77" t="s">
        <v>1333</v>
      </c>
      <c r="T77" s="57">
        <v>-773167.13</v>
      </c>
      <c r="U77" s="57">
        <v>-802152.46</v>
      </c>
      <c r="V77" s="57">
        <v>-829661.06</v>
      </c>
      <c r="X77" s="55"/>
      <c r="Y77" s="55"/>
    </row>
    <row r="78" spans="1:25" ht="15.75" customHeight="1" x14ac:dyDescent="0.3">
      <c r="A78" s="57" t="s">
        <v>194</v>
      </c>
      <c r="B78" s="57" t="s">
        <v>195</v>
      </c>
      <c r="C78" s="58" t="s">
        <v>1177</v>
      </c>
      <c r="D78" s="58" t="s">
        <v>1210</v>
      </c>
      <c r="E78" s="59" t="s">
        <v>1211</v>
      </c>
      <c r="F78" s="55" t="s">
        <v>194</v>
      </c>
      <c r="G78" s="55" t="s">
        <v>195</v>
      </c>
      <c r="H78" t="s">
        <v>196</v>
      </c>
      <c r="I78" t="s">
        <v>208</v>
      </c>
      <c r="J78" t="s">
        <v>260</v>
      </c>
      <c r="K78" s="60">
        <v>11203000003</v>
      </c>
      <c r="L78" s="60" t="s">
        <v>263</v>
      </c>
      <c r="M78" s="57">
        <v>48357.86</v>
      </c>
      <c r="N78" s="57">
        <v>48357.86</v>
      </c>
      <c r="O78" s="57">
        <v>48357.86</v>
      </c>
      <c r="Q78">
        <v>35</v>
      </c>
      <c r="R78" t="s">
        <v>1330</v>
      </c>
      <c r="S78" t="s">
        <v>1341</v>
      </c>
      <c r="T78" s="57">
        <v>48357.86</v>
      </c>
      <c r="U78" s="57">
        <v>48357.86</v>
      </c>
      <c r="V78" s="57">
        <v>48357.86</v>
      </c>
      <c r="X78" s="55"/>
      <c r="Y78" s="55"/>
    </row>
    <row r="79" spans="1:25" ht="15.75" customHeight="1" x14ac:dyDescent="0.3">
      <c r="A79" s="57" t="s">
        <v>194</v>
      </c>
      <c r="B79" s="57" t="s">
        <v>195</v>
      </c>
      <c r="C79" s="58" t="s">
        <v>1177</v>
      </c>
      <c r="D79" s="58" t="s">
        <v>1210</v>
      </c>
      <c r="E79" s="59" t="s">
        <v>1211</v>
      </c>
      <c r="F79" s="55" t="s">
        <v>194</v>
      </c>
      <c r="G79" s="55" t="s">
        <v>195</v>
      </c>
      <c r="H79" t="s">
        <v>196</v>
      </c>
      <c r="I79" t="s">
        <v>208</v>
      </c>
      <c r="J79" t="s">
        <v>260</v>
      </c>
      <c r="K79" s="60">
        <v>11203000004</v>
      </c>
      <c r="L79" s="60" t="s">
        <v>264</v>
      </c>
      <c r="M79" s="57">
        <v>-47727.85</v>
      </c>
      <c r="N79" s="57">
        <v>-48199.38</v>
      </c>
      <c r="O79" s="57">
        <v>-48357.86</v>
      </c>
      <c r="Q79">
        <v>35</v>
      </c>
      <c r="R79" t="s">
        <v>1330</v>
      </c>
      <c r="S79" t="s">
        <v>1333</v>
      </c>
      <c r="T79" s="57">
        <v>-47727.85</v>
      </c>
      <c r="U79" s="57">
        <v>-48199.38</v>
      </c>
      <c r="V79" s="57">
        <v>-48357.86</v>
      </c>
      <c r="X79" s="55"/>
      <c r="Y79" s="55"/>
    </row>
    <row r="80" spans="1:25" ht="15.75" customHeight="1" x14ac:dyDescent="0.3">
      <c r="A80" s="57" t="s">
        <v>194</v>
      </c>
      <c r="B80" s="57" t="s">
        <v>195</v>
      </c>
      <c r="C80" s="58" t="s">
        <v>1177</v>
      </c>
      <c r="D80" s="58" t="s">
        <v>1210</v>
      </c>
      <c r="E80" s="59" t="s">
        <v>1211</v>
      </c>
      <c r="F80" s="55" t="s">
        <v>194</v>
      </c>
      <c r="G80" s="55" t="s">
        <v>195</v>
      </c>
      <c r="H80" t="s">
        <v>196</v>
      </c>
      <c r="I80" t="s">
        <v>208</v>
      </c>
      <c r="J80" t="s">
        <v>260</v>
      </c>
      <c r="K80" s="60">
        <v>11203000005</v>
      </c>
      <c r="L80" s="60" t="s">
        <v>265</v>
      </c>
      <c r="M80" s="57">
        <v>74590.78</v>
      </c>
      <c r="N80" s="57">
        <v>89129.88</v>
      </c>
      <c r="O80" s="57">
        <v>88029.88</v>
      </c>
      <c r="Q80">
        <v>35</v>
      </c>
      <c r="R80" t="s">
        <v>1330</v>
      </c>
      <c r="S80" t="s">
        <v>1341</v>
      </c>
      <c r="T80" s="57">
        <v>74590.78</v>
      </c>
      <c r="U80" s="57">
        <v>89129.88</v>
      </c>
      <c r="V80" s="57">
        <v>88029.88</v>
      </c>
      <c r="X80" s="55"/>
      <c r="Y80" s="55"/>
    </row>
    <row r="81" spans="1:25" ht="15.75" customHeight="1" x14ac:dyDescent="0.3">
      <c r="A81" s="57" t="s">
        <v>194</v>
      </c>
      <c r="B81" s="57" t="s">
        <v>195</v>
      </c>
      <c r="C81" s="58" t="s">
        <v>1177</v>
      </c>
      <c r="D81" s="58" t="s">
        <v>1210</v>
      </c>
      <c r="E81" s="59" t="s">
        <v>1211</v>
      </c>
      <c r="F81" s="55" t="s">
        <v>194</v>
      </c>
      <c r="G81" s="55" t="s">
        <v>195</v>
      </c>
      <c r="H81" t="s">
        <v>196</v>
      </c>
      <c r="I81" t="s">
        <v>208</v>
      </c>
      <c r="J81" t="s">
        <v>260</v>
      </c>
      <c r="K81" s="60">
        <v>11203000006</v>
      </c>
      <c r="L81" s="60" t="s">
        <v>266</v>
      </c>
      <c r="M81" s="57">
        <v>-64911.86</v>
      </c>
      <c r="N81" s="57">
        <v>-68698.460000000006</v>
      </c>
      <c r="O81" s="57">
        <v>-73570.92</v>
      </c>
      <c r="Q81">
        <v>35</v>
      </c>
      <c r="R81" t="s">
        <v>1330</v>
      </c>
      <c r="S81" t="s">
        <v>1333</v>
      </c>
      <c r="T81" s="57">
        <v>-64911.86</v>
      </c>
      <c r="U81" s="57">
        <v>-68698.460000000006</v>
      </c>
      <c r="V81" s="57">
        <v>-73570.92</v>
      </c>
      <c r="X81" s="55"/>
      <c r="Y81" s="55"/>
    </row>
    <row r="82" spans="1:25" ht="15.75" customHeight="1" x14ac:dyDescent="0.3">
      <c r="A82" s="57" t="s">
        <v>194</v>
      </c>
      <c r="B82" s="57" t="s">
        <v>195</v>
      </c>
      <c r="C82" s="58" t="s">
        <v>1177</v>
      </c>
      <c r="D82" s="58" t="s">
        <v>1210</v>
      </c>
      <c r="E82" s="59" t="s">
        <v>1211</v>
      </c>
      <c r="F82" s="55" t="s">
        <v>194</v>
      </c>
      <c r="G82" s="55" t="s">
        <v>195</v>
      </c>
      <c r="H82" t="s">
        <v>196</v>
      </c>
      <c r="I82" t="s">
        <v>208</v>
      </c>
      <c r="J82" t="s">
        <v>260</v>
      </c>
      <c r="K82" s="60">
        <v>11203000007</v>
      </c>
      <c r="L82" s="60" t="s">
        <v>267</v>
      </c>
      <c r="M82" s="57">
        <v>500</v>
      </c>
      <c r="N82" s="57">
        <v>500</v>
      </c>
      <c r="O82" s="57">
        <v>500</v>
      </c>
      <c r="Q82">
        <v>35</v>
      </c>
      <c r="R82" t="s">
        <v>1330</v>
      </c>
      <c r="S82" t="s">
        <v>1341</v>
      </c>
      <c r="T82" s="57">
        <v>500</v>
      </c>
      <c r="U82" s="57">
        <v>500</v>
      </c>
      <c r="V82" s="57">
        <v>500</v>
      </c>
      <c r="X82" s="55"/>
      <c r="Y82" s="55"/>
    </row>
    <row r="83" spans="1:25" ht="15.75" customHeight="1" x14ac:dyDescent="0.3">
      <c r="A83" s="57" t="s">
        <v>194</v>
      </c>
      <c r="B83" s="57" t="s">
        <v>195</v>
      </c>
      <c r="C83" s="58" t="s">
        <v>1177</v>
      </c>
      <c r="D83" s="58" t="s">
        <v>1210</v>
      </c>
      <c r="E83" s="59" t="s">
        <v>1211</v>
      </c>
      <c r="F83" s="55" t="s">
        <v>194</v>
      </c>
      <c r="G83" s="55" t="s">
        <v>195</v>
      </c>
      <c r="H83" t="s">
        <v>196</v>
      </c>
      <c r="I83" t="s">
        <v>208</v>
      </c>
      <c r="J83" t="s">
        <v>260</v>
      </c>
      <c r="K83" s="60">
        <v>11203000008</v>
      </c>
      <c r="L83" s="60" t="s">
        <v>268</v>
      </c>
      <c r="M83" s="57">
        <v>-500</v>
      </c>
      <c r="N83" s="57">
        <v>-500</v>
      </c>
      <c r="O83" s="57">
        <v>-500</v>
      </c>
      <c r="Q83">
        <v>35</v>
      </c>
      <c r="R83" t="s">
        <v>1330</v>
      </c>
      <c r="S83" t="s">
        <v>1333</v>
      </c>
      <c r="T83" s="57">
        <v>-500</v>
      </c>
      <c r="U83" s="57">
        <v>-500</v>
      </c>
      <c r="V83" s="57">
        <v>-500</v>
      </c>
      <c r="X83" s="55"/>
      <c r="Y83" s="55"/>
    </row>
    <row r="84" spans="1:25" ht="15.75" customHeight="1" x14ac:dyDescent="0.3">
      <c r="A84" s="57" t="s">
        <v>194</v>
      </c>
      <c r="B84" s="57" t="s">
        <v>195</v>
      </c>
      <c r="C84" s="58" t="s">
        <v>1177</v>
      </c>
      <c r="D84" s="58" t="s">
        <v>1165</v>
      </c>
      <c r="E84" s="59" t="s">
        <v>1212</v>
      </c>
      <c r="F84" s="55" t="s">
        <v>194</v>
      </c>
      <c r="G84" s="55" t="s">
        <v>195</v>
      </c>
      <c r="H84" t="s">
        <v>196</v>
      </c>
      <c r="I84" t="s">
        <v>208</v>
      </c>
      <c r="J84" t="s">
        <v>269</v>
      </c>
      <c r="K84" s="60">
        <v>11204000001</v>
      </c>
      <c r="L84" s="60" t="s">
        <v>270</v>
      </c>
      <c r="M84" s="57">
        <v>1130</v>
      </c>
      <c r="N84" s="57">
        <v>3630</v>
      </c>
      <c r="O84" s="57">
        <v>20572.150000000001</v>
      </c>
      <c r="Q84">
        <v>35</v>
      </c>
      <c r="R84" t="s">
        <v>1331</v>
      </c>
      <c r="S84" t="s">
        <v>1342</v>
      </c>
      <c r="T84" s="57">
        <v>1130</v>
      </c>
      <c r="U84" s="57">
        <v>3630</v>
      </c>
      <c r="V84" s="57">
        <v>20572.150000000001</v>
      </c>
      <c r="X84" s="55"/>
      <c r="Y84" s="55"/>
    </row>
    <row r="85" spans="1:25" ht="15.75" customHeight="1" x14ac:dyDescent="0.3">
      <c r="A85" s="57" t="s">
        <v>194</v>
      </c>
      <c r="B85" s="57" t="s">
        <v>195</v>
      </c>
      <c r="C85" s="58" t="s">
        <v>1177</v>
      </c>
      <c r="D85" s="58" t="s">
        <v>1165</v>
      </c>
      <c r="E85" s="59" t="s">
        <v>1212</v>
      </c>
      <c r="F85" s="55" t="s">
        <v>194</v>
      </c>
      <c r="G85" s="55" t="s">
        <v>195</v>
      </c>
      <c r="H85" t="s">
        <v>196</v>
      </c>
      <c r="I85" t="s">
        <v>208</v>
      </c>
      <c r="J85" t="s">
        <v>269</v>
      </c>
      <c r="K85" s="60">
        <v>11204000002</v>
      </c>
      <c r="L85" s="60" t="s">
        <v>271</v>
      </c>
      <c r="M85" s="57">
        <v>0</v>
      </c>
      <c r="N85" s="57">
        <v>-760.2</v>
      </c>
      <c r="O85" s="57">
        <v>-2212.33</v>
      </c>
      <c r="Q85">
        <v>35</v>
      </c>
      <c r="R85" t="s">
        <v>1331</v>
      </c>
      <c r="S85" t="s">
        <v>1334</v>
      </c>
      <c r="T85" s="57">
        <v>0</v>
      </c>
      <c r="U85" s="57">
        <v>-760.2</v>
      </c>
      <c r="V85" s="57">
        <v>-2212.33</v>
      </c>
      <c r="X85" s="55"/>
      <c r="Y85" s="55"/>
    </row>
    <row r="86" spans="1:25" ht="15.75" customHeight="1" x14ac:dyDescent="0.3">
      <c r="A86" s="57" t="s">
        <v>194</v>
      </c>
      <c r="B86" s="57" t="s">
        <v>195</v>
      </c>
      <c r="C86" s="58" t="s">
        <v>1177</v>
      </c>
      <c r="D86" s="58" t="s">
        <v>1165</v>
      </c>
      <c r="E86" s="59" t="s">
        <v>1212</v>
      </c>
      <c r="F86" s="55" t="s">
        <v>194</v>
      </c>
      <c r="G86" s="55" t="s">
        <v>195</v>
      </c>
      <c r="H86" t="s">
        <v>196</v>
      </c>
      <c r="I86" t="s">
        <v>208</v>
      </c>
      <c r="J86" t="s">
        <v>272</v>
      </c>
      <c r="K86" s="60">
        <v>11204000003</v>
      </c>
      <c r="L86" s="60" t="s">
        <v>273</v>
      </c>
      <c r="M86" s="57">
        <v>103971.49</v>
      </c>
      <c r="N86" s="57">
        <v>103971.49</v>
      </c>
      <c r="O86" s="57">
        <v>103971.49</v>
      </c>
      <c r="Q86">
        <v>35</v>
      </c>
      <c r="R86" t="s">
        <v>1331</v>
      </c>
      <c r="S86" t="s">
        <v>1342</v>
      </c>
      <c r="T86" s="57">
        <v>103971.49</v>
      </c>
      <c r="U86" s="57">
        <v>103971.49</v>
      </c>
      <c r="V86" s="57">
        <v>103971.49</v>
      </c>
      <c r="X86" s="55"/>
      <c r="Y86" s="55"/>
    </row>
    <row r="87" spans="1:25" s="64" customFormat="1" ht="15.75" customHeight="1" x14ac:dyDescent="0.3">
      <c r="A87" s="57" t="s">
        <v>194</v>
      </c>
      <c r="B87" s="57" t="s">
        <v>195</v>
      </c>
      <c r="C87" s="58" t="s">
        <v>1177</v>
      </c>
      <c r="D87" s="58" t="s">
        <v>1165</v>
      </c>
      <c r="E87" s="59" t="s">
        <v>1212</v>
      </c>
      <c r="F87" s="55" t="s">
        <v>194</v>
      </c>
      <c r="G87" s="55" t="s">
        <v>195</v>
      </c>
      <c r="H87" t="s">
        <v>196</v>
      </c>
      <c r="I87" t="s">
        <v>208</v>
      </c>
      <c r="J87" t="s">
        <v>272</v>
      </c>
      <c r="K87" s="60">
        <v>11204000004</v>
      </c>
      <c r="L87" s="60" t="s">
        <v>274</v>
      </c>
      <c r="M87" s="57">
        <v>-104446.11</v>
      </c>
      <c r="N87" s="57">
        <v>-103971.49</v>
      </c>
      <c r="O87" s="57">
        <v>-103971.49</v>
      </c>
      <c r="Q87">
        <v>35</v>
      </c>
      <c r="R87" t="s">
        <v>1331</v>
      </c>
      <c r="S87" t="s">
        <v>1334</v>
      </c>
      <c r="T87" s="57">
        <v>-104446.11</v>
      </c>
      <c r="U87" s="57">
        <v>-103971.49</v>
      </c>
      <c r="V87" s="57">
        <v>-103971.49</v>
      </c>
      <c r="X87" s="55"/>
      <c r="Y87" s="55"/>
    </row>
    <row r="88" spans="1:25" ht="15.75" customHeight="1" x14ac:dyDescent="0.3">
      <c r="A88" s="57" t="s">
        <v>194</v>
      </c>
      <c r="B88" s="57" t="s">
        <v>195</v>
      </c>
      <c r="C88" s="58" t="s">
        <v>1177</v>
      </c>
      <c r="D88" s="58" t="s">
        <v>1165</v>
      </c>
      <c r="E88" s="59" t="s">
        <v>1212</v>
      </c>
      <c r="F88" s="55" t="s">
        <v>194</v>
      </c>
      <c r="G88" s="55" t="s">
        <v>195</v>
      </c>
      <c r="H88" t="s">
        <v>196</v>
      </c>
      <c r="I88" t="s">
        <v>208</v>
      </c>
      <c r="J88" t="s">
        <v>272</v>
      </c>
      <c r="K88" s="60">
        <v>11204000005</v>
      </c>
      <c r="L88" s="60" t="s">
        <v>275</v>
      </c>
      <c r="M88" s="57">
        <v>248292.79</v>
      </c>
      <c r="N88" s="57">
        <v>250437.79</v>
      </c>
      <c r="O88" s="57">
        <v>252773.04</v>
      </c>
      <c r="Q88">
        <v>35</v>
      </c>
      <c r="R88" t="s">
        <v>1331</v>
      </c>
      <c r="S88" t="s">
        <v>1342</v>
      </c>
      <c r="T88" s="57">
        <v>248292.79</v>
      </c>
      <c r="U88" s="57">
        <v>250437.79</v>
      </c>
      <c r="V88" s="57">
        <v>252773.04</v>
      </c>
      <c r="X88" s="55"/>
      <c r="Y88" s="55"/>
    </row>
    <row r="89" spans="1:25" ht="15.75" customHeight="1" x14ac:dyDescent="0.3">
      <c r="A89" s="57" t="s">
        <v>194</v>
      </c>
      <c r="B89" s="57" t="s">
        <v>195</v>
      </c>
      <c r="C89" s="58" t="s">
        <v>1177</v>
      </c>
      <c r="D89" s="58" t="s">
        <v>1165</v>
      </c>
      <c r="E89" s="59" t="s">
        <v>1212</v>
      </c>
      <c r="F89" s="55" t="s">
        <v>194</v>
      </c>
      <c r="G89" s="55" t="s">
        <v>195</v>
      </c>
      <c r="H89" t="s">
        <v>196</v>
      </c>
      <c r="I89" t="s">
        <v>208</v>
      </c>
      <c r="J89" t="s">
        <v>272</v>
      </c>
      <c r="K89" s="60">
        <v>11204000006</v>
      </c>
      <c r="L89" s="60" t="s">
        <v>276</v>
      </c>
      <c r="M89" s="57">
        <v>-233675.41</v>
      </c>
      <c r="N89" s="57">
        <v>-239234.64</v>
      </c>
      <c r="O89" s="57">
        <v>-243486.47</v>
      </c>
      <c r="Q89">
        <v>35</v>
      </c>
      <c r="R89" t="s">
        <v>1331</v>
      </c>
      <c r="S89" t="s">
        <v>1334</v>
      </c>
      <c r="T89" s="57">
        <v>-233675.41</v>
      </c>
      <c r="U89" s="57">
        <v>-239234.64</v>
      </c>
      <c r="V89" s="57">
        <v>-243486.47</v>
      </c>
      <c r="X89" s="55"/>
      <c r="Y89" s="55"/>
    </row>
    <row r="90" spans="1:25" ht="15.75" customHeight="1" x14ac:dyDescent="0.3">
      <c r="A90" s="57" t="s">
        <v>194</v>
      </c>
      <c r="B90" s="57" t="s">
        <v>195</v>
      </c>
      <c r="C90" s="58" t="s">
        <v>1177</v>
      </c>
      <c r="D90" s="58" t="s">
        <v>1165</v>
      </c>
      <c r="E90" s="59" t="s">
        <v>1212</v>
      </c>
      <c r="F90" s="55" t="s">
        <v>194</v>
      </c>
      <c r="G90" s="55" t="s">
        <v>195</v>
      </c>
      <c r="H90" t="s">
        <v>196</v>
      </c>
      <c r="I90" t="s">
        <v>208</v>
      </c>
      <c r="J90" t="s">
        <v>123</v>
      </c>
      <c r="K90" s="60">
        <v>11204000007</v>
      </c>
      <c r="L90" s="60" t="s">
        <v>277</v>
      </c>
      <c r="M90" s="57">
        <v>118080.86</v>
      </c>
      <c r="N90" s="57">
        <v>125058.34</v>
      </c>
      <c r="O90" s="57">
        <v>126558.34</v>
      </c>
      <c r="Q90">
        <v>35</v>
      </c>
      <c r="R90" t="s">
        <v>1331</v>
      </c>
      <c r="S90" t="s">
        <v>1342</v>
      </c>
      <c r="T90" s="57">
        <v>118080.86</v>
      </c>
      <c r="U90" s="57">
        <v>125058.34</v>
      </c>
      <c r="V90" s="57">
        <v>126558.34</v>
      </c>
      <c r="X90" s="55"/>
      <c r="Y90" s="55"/>
    </row>
    <row r="91" spans="1:25" ht="15.75" customHeight="1" x14ac:dyDescent="0.3">
      <c r="A91" s="57" t="s">
        <v>194</v>
      </c>
      <c r="B91" s="57" t="s">
        <v>195</v>
      </c>
      <c r="C91" s="58" t="s">
        <v>1177</v>
      </c>
      <c r="D91" s="58" t="s">
        <v>1165</v>
      </c>
      <c r="E91" s="59" t="s">
        <v>1212</v>
      </c>
      <c r="F91" s="55" t="s">
        <v>194</v>
      </c>
      <c r="G91" s="55" t="s">
        <v>195</v>
      </c>
      <c r="H91" t="s">
        <v>196</v>
      </c>
      <c r="I91" t="s">
        <v>208</v>
      </c>
      <c r="J91" t="s">
        <v>123</v>
      </c>
      <c r="K91" s="60">
        <v>11204000008</v>
      </c>
      <c r="L91" s="60" t="s">
        <v>278</v>
      </c>
      <c r="M91" s="57">
        <v>-99124.74</v>
      </c>
      <c r="N91" s="57">
        <v>-108498.92</v>
      </c>
      <c r="O91" s="57">
        <v>-116242.62</v>
      </c>
      <c r="Q91">
        <v>35</v>
      </c>
      <c r="R91" t="s">
        <v>1331</v>
      </c>
      <c r="S91" t="s">
        <v>1334</v>
      </c>
      <c r="T91" s="57">
        <v>-99124.74</v>
      </c>
      <c r="U91" s="57">
        <v>-108498.92</v>
      </c>
      <c r="V91" s="57">
        <v>-116242.62</v>
      </c>
      <c r="X91" s="55"/>
      <c r="Y91" s="55"/>
    </row>
    <row r="92" spans="1:25" ht="15.75" customHeight="1" x14ac:dyDescent="0.3">
      <c r="A92" s="57" t="s">
        <v>194</v>
      </c>
      <c r="B92" s="57" t="s">
        <v>195</v>
      </c>
      <c r="C92" s="58" t="s">
        <v>1177</v>
      </c>
      <c r="D92" s="58" t="s">
        <v>1165</v>
      </c>
      <c r="E92" s="59" t="s">
        <v>1212</v>
      </c>
      <c r="F92" s="55" t="s">
        <v>194</v>
      </c>
      <c r="G92" s="55" t="s">
        <v>195</v>
      </c>
      <c r="H92" t="s">
        <v>196</v>
      </c>
      <c r="I92" t="s">
        <v>208</v>
      </c>
      <c r="J92" t="s">
        <v>123</v>
      </c>
      <c r="K92" s="60">
        <v>11204000009</v>
      </c>
      <c r="L92" s="60" t="s">
        <v>279</v>
      </c>
      <c r="M92" s="57">
        <v>182101.74</v>
      </c>
      <c r="N92" s="57">
        <v>182101.74</v>
      </c>
      <c r="O92" s="57">
        <v>133157.54999999999</v>
      </c>
      <c r="Q92">
        <v>35</v>
      </c>
      <c r="R92" t="s">
        <v>1331</v>
      </c>
      <c r="S92" t="s">
        <v>1342</v>
      </c>
      <c r="T92" s="57">
        <v>182101.74</v>
      </c>
      <c r="U92" s="57">
        <v>182101.74</v>
      </c>
      <c r="V92" s="57">
        <v>133157.54999999999</v>
      </c>
      <c r="X92" s="55"/>
      <c r="Y92" s="55"/>
    </row>
    <row r="93" spans="1:25" ht="15.75" customHeight="1" x14ac:dyDescent="0.3">
      <c r="A93" s="57" t="s">
        <v>194</v>
      </c>
      <c r="B93" s="57" t="s">
        <v>195</v>
      </c>
      <c r="C93" s="58" t="s">
        <v>1177</v>
      </c>
      <c r="D93" s="58" t="s">
        <v>1165</v>
      </c>
      <c r="E93" s="59" t="s">
        <v>1212</v>
      </c>
      <c r="F93" s="55" t="s">
        <v>194</v>
      </c>
      <c r="G93" s="55" t="s">
        <v>195</v>
      </c>
      <c r="H93" t="s">
        <v>196</v>
      </c>
      <c r="I93" t="s">
        <v>208</v>
      </c>
      <c r="J93" t="s">
        <v>123</v>
      </c>
      <c r="K93" s="60">
        <v>11204000010</v>
      </c>
      <c r="L93" s="60" t="s">
        <v>280</v>
      </c>
      <c r="M93" s="57">
        <v>-100965.58</v>
      </c>
      <c r="N93" s="57">
        <v>-109644.63</v>
      </c>
      <c r="O93" s="57">
        <v>-73161.33</v>
      </c>
      <c r="Q93">
        <v>35</v>
      </c>
      <c r="R93" t="s">
        <v>1331</v>
      </c>
      <c r="S93" t="s">
        <v>1334</v>
      </c>
      <c r="T93" s="57">
        <v>-100965.58</v>
      </c>
      <c r="U93" s="57">
        <v>-109644.63</v>
      </c>
      <c r="V93" s="57">
        <v>-73161.33</v>
      </c>
      <c r="X93" s="55"/>
      <c r="Y93" s="55"/>
    </row>
    <row r="94" spans="1:25" ht="15.75" customHeight="1" x14ac:dyDescent="0.3">
      <c r="A94" s="57" t="s">
        <v>194</v>
      </c>
      <c r="B94" s="57" t="s">
        <v>195</v>
      </c>
      <c r="C94" s="58" t="s">
        <v>1177</v>
      </c>
      <c r="D94" s="58" t="s">
        <v>1165</v>
      </c>
      <c r="E94" s="59" t="s">
        <v>1212</v>
      </c>
      <c r="F94" s="55" t="s">
        <v>194</v>
      </c>
      <c r="G94" s="55" t="s">
        <v>195</v>
      </c>
      <c r="H94" t="s">
        <v>196</v>
      </c>
      <c r="I94" t="s">
        <v>208</v>
      </c>
      <c r="J94" t="s">
        <v>123</v>
      </c>
      <c r="K94" s="60">
        <v>11204000011</v>
      </c>
      <c r="L94" s="60" t="s">
        <v>281</v>
      </c>
      <c r="M94" s="57">
        <v>156678.70000000001</v>
      </c>
      <c r="N94" s="57">
        <v>285914.26</v>
      </c>
      <c r="O94" s="57">
        <v>285914.26</v>
      </c>
      <c r="Q94">
        <v>35</v>
      </c>
      <c r="R94" t="s">
        <v>1331</v>
      </c>
      <c r="S94" t="s">
        <v>1342</v>
      </c>
      <c r="T94" s="57">
        <v>156678.70000000001</v>
      </c>
      <c r="U94" s="57">
        <v>163024.31</v>
      </c>
      <c r="V94" s="57">
        <v>163024.31</v>
      </c>
      <c r="X94" s="55"/>
      <c r="Y94" s="55"/>
    </row>
    <row r="95" spans="1:25" ht="15.75" customHeight="1" x14ac:dyDescent="0.3">
      <c r="A95" s="57" t="s">
        <v>194</v>
      </c>
      <c r="B95" s="57" t="s">
        <v>195</v>
      </c>
      <c r="C95" s="58" t="s">
        <v>1177</v>
      </c>
      <c r="D95" s="58" t="s">
        <v>1165</v>
      </c>
      <c r="E95" s="59" t="s">
        <v>1212</v>
      </c>
      <c r="F95" s="55" t="s">
        <v>194</v>
      </c>
      <c r="G95" s="55" t="s">
        <v>195</v>
      </c>
      <c r="H95" t="s">
        <v>196</v>
      </c>
      <c r="I95" t="s">
        <v>208</v>
      </c>
      <c r="J95" t="s">
        <v>123</v>
      </c>
      <c r="K95" s="60">
        <v>11204000012</v>
      </c>
      <c r="L95" s="60" t="s">
        <v>282</v>
      </c>
      <c r="M95" s="57">
        <v>-154798.45000000001</v>
      </c>
      <c r="N95" s="57">
        <v>-176695.58698330706</v>
      </c>
      <c r="O95" s="57">
        <v>-198457.41396661417</v>
      </c>
      <c r="Q95">
        <v>35</v>
      </c>
      <c r="R95" t="s">
        <v>1331</v>
      </c>
      <c r="S95" t="s">
        <v>1334</v>
      </c>
      <c r="T95" s="57">
        <v>-154798.45000000001</v>
      </c>
      <c r="U95" s="57">
        <v>-156222.12</v>
      </c>
      <c r="V95" s="57">
        <v>-157510.48000000001</v>
      </c>
      <c r="X95" s="55"/>
      <c r="Y95" s="55"/>
    </row>
    <row r="96" spans="1:25" ht="15.75" customHeight="1" x14ac:dyDescent="0.3">
      <c r="A96" s="57" t="s">
        <v>194</v>
      </c>
      <c r="B96" s="57" t="s">
        <v>195</v>
      </c>
      <c r="C96" s="58" t="s">
        <v>1177</v>
      </c>
      <c r="D96" s="58" t="s">
        <v>1165</v>
      </c>
      <c r="E96" s="59" t="s">
        <v>1212</v>
      </c>
      <c r="F96" s="55" t="s">
        <v>194</v>
      </c>
      <c r="G96" s="55" t="s">
        <v>195</v>
      </c>
      <c r="H96" t="s">
        <v>196</v>
      </c>
      <c r="I96" t="s">
        <v>208</v>
      </c>
      <c r="J96" t="s">
        <v>123</v>
      </c>
      <c r="K96" s="60">
        <v>11204000013</v>
      </c>
      <c r="L96" s="60" t="s">
        <v>283</v>
      </c>
      <c r="M96" s="57">
        <v>200</v>
      </c>
      <c r="N96" s="57">
        <v>200</v>
      </c>
      <c r="O96" s="57">
        <v>200</v>
      </c>
      <c r="Q96">
        <v>35</v>
      </c>
      <c r="R96" t="s">
        <v>1331</v>
      </c>
      <c r="S96" t="s">
        <v>1342</v>
      </c>
      <c r="T96" s="57">
        <v>200</v>
      </c>
      <c r="U96" s="57">
        <v>200</v>
      </c>
      <c r="V96" s="57">
        <v>200</v>
      </c>
      <c r="X96" s="55"/>
      <c r="Y96" s="55"/>
    </row>
    <row r="97" spans="1:25" ht="15.75" customHeight="1" x14ac:dyDescent="0.3">
      <c r="A97" s="57" t="s">
        <v>194</v>
      </c>
      <c r="B97" s="57" t="s">
        <v>195</v>
      </c>
      <c r="C97" s="58" t="s">
        <v>1177</v>
      </c>
      <c r="D97" s="58" t="s">
        <v>1165</v>
      </c>
      <c r="E97" s="59" t="s">
        <v>1212</v>
      </c>
      <c r="F97" s="55" t="s">
        <v>194</v>
      </c>
      <c r="G97" s="55" t="s">
        <v>195</v>
      </c>
      <c r="H97" t="s">
        <v>196</v>
      </c>
      <c r="I97" t="s">
        <v>208</v>
      </c>
      <c r="J97" t="s">
        <v>123</v>
      </c>
      <c r="K97" s="60">
        <v>11204000014</v>
      </c>
      <c r="L97" s="60" t="s">
        <v>284</v>
      </c>
      <c r="M97" s="57">
        <v>-200</v>
      </c>
      <c r="N97" s="57">
        <v>-200</v>
      </c>
      <c r="O97" s="57">
        <v>-200</v>
      </c>
      <c r="Q97">
        <v>35</v>
      </c>
      <c r="R97" t="s">
        <v>1331</v>
      </c>
      <c r="S97" t="s">
        <v>1334</v>
      </c>
      <c r="T97" s="57">
        <v>-200</v>
      </c>
      <c r="U97" s="57">
        <v>-200</v>
      </c>
      <c r="V97" s="57">
        <v>-200</v>
      </c>
      <c r="X97" s="55"/>
      <c r="Y97" s="55"/>
    </row>
    <row r="98" spans="1:25" ht="15.75" customHeight="1" x14ac:dyDescent="0.3">
      <c r="A98" s="57" t="s">
        <v>194</v>
      </c>
      <c r="B98" s="57" t="s">
        <v>195</v>
      </c>
      <c r="C98" s="58" t="s">
        <v>1177</v>
      </c>
      <c r="D98" s="58" t="s">
        <v>1165</v>
      </c>
      <c r="E98" s="59" t="s">
        <v>1212</v>
      </c>
      <c r="F98" s="55" t="s">
        <v>194</v>
      </c>
      <c r="G98" s="55" t="s">
        <v>195</v>
      </c>
      <c r="H98" t="s">
        <v>196</v>
      </c>
      <c r="I98" t="s">
        <v>208</v>
      </c>
      <c r="J98" t="s">
        <v>269</v>
      </c>
      <c r="K98" s="60">
        <v>11204000015</v>
      </c>
      <c r="L98" s="60" t="s">
        <v>285</v>
      </c>
      <c r="M98" s="57">
        <v>3050.94</v>
      </c>
      <c r="N98" s="57">
        <v>3050.94</v>
      </c>
      <c r="O98" s="57">
        <v>3050.94</v>
      </c>
      <c r="Q98">
        <v>35</v>
      </c>
      <c r="R98" t="s">
        <v>1331</v>
      </c>
      <c r="S98" t="s">
        <v>1342</v>
      </c>
      <c r="T98" s="57">
        <v>3050.94</v>
      </c>
      <c r="U98" s="57">
        <v>3050.94</v>
      </c>
      <c r="V98" s="57">
        <v>3050.94</v>
      </c>
      <c r="X98" s="55"/>
      <c r="Y98" s="55"/>
    </row>
    <row r="99" spans="1:25" ht="15.75" customHeight="1" x14ac:dyDescent="0.3">
      <c r="A99" s="57" t="s">
        <v>194</v>
      </c>
      <c r="B99" s="57" t="s">
        <v>195</v>
      </c>
      <c r="C99" s="58" t="s">
        <v>1177</v>
      </c>
      <c r="D99" s="58" t="s">
        <v>1165</v>
      </c>
      <c r="E99" s="59" t="s">
        <v>1212</v>
      </c>
      <c r="F99" s="55" t="s">
        <v>194</v>
      </c>
      <c r="G99" s="55" t="s">
        <v>195</v>
      </c>
      <c r="H99" t="s">
        <v>196</v>
      </c>
      <c r="I99" t="s">
        <v>208</v>
      </c>
      <c r="J99" t="s">
        <v>269</v>
      </c>
      <c r="K99" s="60">
        <v>11204000016</v>
      </c>
      <c r="L99" s="60" t="s">
        <v>286</v>
      </c>
      <c r="M99" s="57">
        <v>-3050.94</v>
      </c>
      <c r="N99" s="57">
        <v>-3050.94</v>
      </c>
      <c r="O99" s="57">
        <v>-3050.94</v>
      </c>
      <c r="Q99">
        <v>35</v>
      </c>
      <c r="R99" t="s">
        <v>1331</v>
      </c>
      <c r="S99" t="s">
        <v>1334</v>
      </c>
      <c r="T99" s="57">
        <v>-3050.94</v>
      </c>
      <c r="U99" s="57">
        <v>-3050.94</v>
      </c>
      <c r="V99" s="57">
        <v>-3050.94</v>
      </c>
      <c r="X99" s="55"/>
      <c r="Y99" s="55"/>
    </row>
    <row r="100" spans="1:25" ht="15.75" customHeight="1" x14ac:dyDescent="0.3">
      <c r="A100" s="57" t="s">
        <v>194</v>
      </c>
      <c r="B100" s="57" t="s">
        <v>195</v>
      </c>
      <c r="C100" s="58" t="s">
        <v>1177</v>
      </c>
      <c r="D100" s="58" t="s">
        <v>1165</v>
      </c>
      <c r="E100" s="59" t="s">
        <v>1212</v>
      </c>
      <c r="F100" s="55" t="s">
        <v>194</v>
      </c>
      <c r="G100" s="55" t="s">
        <v>195</v>
      </c>
      <c r="H100" t="s">
        <v>196</v>
      </c>
      <c r="I100" t="s">
        <v>208</v>
      </c>
      <c r="J100" t="s">
        <v>269</v>
      </c>
      <c r="K100" s="60">
        <v>11204000017</v>
      </c>
      <c r="L100" s="60" t="s">
        <v>287</v>
      </c>
      <c r="M100" s="57">
        <v>11000</v>
      </c>
      <c r="N100" s="57">
        <v>12000</v>
      </c>
      <c r="O100" s="57">
        <v>1000</v>
      </c>
      <c r="Q100">
        <v>35</v>
      </c>
      <c r="R100" t="s">
        <v>1331</v>
      </c>
      <c r="S100" t="s">
        <v>1342</v>
      </c>
      <c r="T100" s="57">
        <v>11000</v>
      </c>
      <c r="U100" s="57">
        <v>12000</v>
      </c>
      <c r="V100" s="57">
        <v>1000</v>
      </c>
      <c r="X100" s="55"/>
      <c r="Y100" s="55"/>
    </row>
    <row r="101" spans="1:25" ht="15.75" customHeight="1" x14ac:dyDescent="0.3">
      <c r="A101" s="57" t="s">
        <v>194</v>
      </c>
      <c r="B101" s="57" t="s">
        <v>195</v>
      </c>
      <c r="C101" s="58" t="s">
        <v>1177</v>
      </c>
      <c r="D101" s="58" t="s">
        <v>1165</v>
      </c>
      <c r="E101" s="59" t="s">
        <v>1212</v>
      </c>
      <c r="F101" s="55" t="s">
        <v>194</v>
      </c>
      <c r="G101" s="55" t="s">
        <v>195</v>
      </c>
      <c r="H101" t="s">
        <v>196</v>
      </c>
      <c r="I101" t="s">
        <v>208</v>
      </c>
      <c r="J101" t="s">
        <v>269</v>
      </c>
      <c r="K101" s="60">
        <v>11204000018</v>
      </c>
      <c r="L101" s="60" t="s">
        <v>288</v>
      </c>
      <c r="M101" s="57">
        <v>-660</v>
      </c>
      <c r="N101" s="57">
        <v>-2040</v>
      </c>
      <c r="O101" s="57">
        <v>-180</v>
      </c>
      <c r="Q101">
        <v>35</v>
      </c>
      <c r="R101" t="s">
        <v>1331</v>
      </c>
      <c r="S101" t="s">
        <v>1334</v>
      </c>
      <c r="T101" s="57">
        <v>-660</v>
      </c>
      <c r="U101" s="57">
        <v>-2040</v>
      </c>
      <c r="V101" s="57">
        <v>-180</v>
      </c>
      <c r="X101" s="55"/>
      <c r="Y101" s="55"/>
    </row>
    <row r="102" spans="1:25" ht="15.75" customHeight="1" x14ac:dyDescent="0.3">
      <c r="A102" s="57"/>
      <c r="B102" s="57"/>
      <c r="C102" s="58"/>
      <c r="D102" s="58"/>
      <c r="E102" s="59"/>
      <c r="F102" s="55" t="s">
        <v>194</v>
      </c>
      <c r="G102" s="55" t="s">
        <v>195</v>
      </c>
      <c r="H102" t="s">
        <v>196</v>
      </c>
      <c r="I102" t="s">
        <v>208</v>
      </c>
      <c r="J102" t="s">
        <v>289</v>
      </c>
      <c r="K102" s="63" t="s">
        <v>290</v>
      </c>
      <c r="L102" s="63" t="s">
        <v>289</v>
      </c>
      <c r="M102" s="57">
        <v>0</v>
      </c>
      <c r="N102" s="57">
        <v>27000</v>
      </c>
      <c r="O102" s="57">
        <v>209454.3</v>
      </c>
      <c r="Q102">
        <v>35</v>
      </c>
      <c r="R102" t="s">
        <v>1331</v>
      </c>
      <c r="S102" t="s">
        <v>1342</v>
      </c>
      <c r="T102" s="57">
        <v>0</v>
      </c>
      <c r="U102" s="57">
        <v>0</v>
      </c>
      <c r="V102" s="57">
        <v>0</v>
      </c>
      <c r="X102" s="55"/>
      <c r="Y102" s="55"/>
    </row>
    <row r="103" spans="1:25" ht="15.75" customHeight="1" x14ac:dyDescent="0.3">
      <c r="A103" s="57"/>
      <c r="B103" s="57"/>
      <c r="C103" s="58"/>
      <c r="D103" s="58"/>
      <c r="E103" s="59"/>
      <c r="F103" s="55" t="s">
        <v>194</v>
      </c>
      <c r="G103" s="55" t="s">
        <v>195</v>
      </c>
      <c r="H103" t="s">
        <v>196</v>
      </c>
      <c r="I103" t="s">
        <v>208</v>
      </c>
      <c r="J103" t="s">
        <v>289</v>
      </c>
      <c r="K103" s="63" t="s">
        <v>291</v>
      </c>
      <c r="L103" s="63" t="s">
        <v>292</v>
      </c>
      <c r="M103" s="57">
        <v>0</v>
      </c>
      <c r="N103" s="57">
        <v>-2700</v>
      </c>
      <c r="O103" s="57">
        <v>-26345.43</v>
      </c>
      <c r="Q103">
        <v>35</v>
      </c>
      <c r="R103" t="s">
        <v>1331</v>
      </c>
      <c r="S103" t="s">
        <v>1334</v>
      </c>
      <c r="T103" s="57">
        <v>0</v>
      </c>
      <c r="U103" s="57">
        <v>0</v>
      </c>
      <c r="V103" s="57">
        <v>0</v>
      </c>
      <c r="X103" s="55"/>
      <c r="Y103" s="55"/>
    </row>
    <row r="104" spans="1:25" s="67" customFormat="1" ht="15.75" customHeight="1" x14ac:dyDescent="0.3">
      <c r="A104" s="57" t="s">
        <v>194</v>
      </c>
      <c r="B104" s="57" t="s">
        <v>195</v>
      </c>
      <c r="C104" s="65" t="s">
        <v>1177</v>
      </c>
      <c r="D104" s="65" t="s">
        <v>1213</v>
      </c>
      <c r="E104" s="59" t="s">
        <v>1214</v>
      </c>
      <c r="F104" s="55" t="s">
        <v>194</v>
      </c>
      <c r="G104" s="55" t="s">
        <v>195</v>
      </c>
      <c r="H104" t="s">
        <v>196</v>
      </c>
      <c r="I104" t="s">
        <v>208</v>
      </c>
      <c r="J104" t="s">
        <v>293</v>
      </c>
      <c r="K104" s="60">
        <v>11510000046</v>
      </c>
      <c r="L104" s="60" t="s">
        <v>294</v>
      </c>
      <c r="M104" s="57">
        <v>0</v>
      </c>
      <c r="N104" s="57">
        <v>17500</v>
      </c>
      <c r="O104" s="57">
        <v>17500</v>
      </c>
      <c r="Q104">
        <v>35</v>
      </c>
      <c r="R104" t="s">
        <v>1332</v>
      </c>
      <c r="S104" t="s">
        <v>1336</v>
      </c>
      <c r="T104" s="57">
        <v>0</v>
      </c>
      <c r="U104" s="57">
        <v>17500</v>
      </c>
      <c r="V104" s="57">
        <v>17500</v>
      </c>
      <c r="X104" s="55"/>
      <c r="Y104" s="55"/>
    </row>
    <row r="105" spans="1:25" ht="15.75" customHeight="1" x14ac:dyDescent="0.3">
      <c r="A105" s="57" t="s">
        <v>194</v>
      </c>
      <c r="B105" s="57" t="s">
        <v>195</v>
      </c>
      <c r="C105" s="65" t="s">
        <v>1177</v>
      </c>
      <c r="D105" s="65" t="s">
        <v>1213</v>
      </c>
      <c r="E105" s="59" t="s">
        <v>1214</v>
      </c>
      <c r="F105" s="55" t="s">
        <v>194</v>
      </c>
      <c r="G105" s="55" t="s">
        <v>195</v>
      </c>
      <c r="H105" t="s">
        <v>196</v>
      </c>
      <c r="I105" t="s">
        <v>208</v>
      </c>
      <c r="J105" t="s">
        <v>293</v>
      </c>
      <c r="K105" s="66">
        <v>11510000026</v>
      </c>
      <c r="L105" s="66" t="s">
        <v>295</v>
      </c>
      <c r="M105" s="57">
        <v>1296606.72</v>
      </c>
      <c r="N105" s="57">
        <v>3502254</v>
      </c>
      <c r="O105" s="57">
        <v>23903.599999999999</v>
      </c>
      <c r="Q105">
        <v>35</v>
      </c>
      <c r="R105" t="s">
        <v>1332</v>
      </c>
      <c r="S105" t="s">
        <v>1336</v>
      </c>
      <c r="T105" s="57">
        <v>1296606.72</v>
      </c>
      <c r="U105" s="57">
        <v>3502254</v>
      </c>
      <c r="V105" s="57">
        <v>23903.599999999999</v>
      </c>
      <c r="X105" s="55"/>
      <c r="Y105" s="55"/>
    </row>
    <row r="106" spans="1:25" ht="15.75" customHeight="1" x14ac:dyDescent="0.3">
      <c r="A106" s="57" t="s">
        <v>194</v>
      </c>
      <c r="B106" s="57" t="s">
        <v>195</v>
      </c>
      <c r="C106" s="58" t="s">
        <v>1014</v>
      </c>
      <c r="D106" s="65" t="s">
        <v>937</v>
      </c>
      <c r="E106" s="59" t="s">
        <v>1215</v>
      </c>
      <c r="F106" s="55" t="s">
        <v>194</v>
      </c>
      <c r="G106" s="55" t="s">
        <v>195</v>
      </c>
      <c r="H106" s="64" t="s">
        <v>196</v>
      </c>
      <c r="I106" s="64" t="s">
        <v>296</v>
      </c>
      <c r="J106" s="64" t="s">
        <v>297</v>
      </c>
      <c r="K106" s="60">
        <v>12001</v>
      </c>
      <c r="L106" s="60" t="s">
        <v>298</v>
      </c>
      <c r="M106" s="57">
        <v>3432.32</v>
      </c>
      <c r="N106" s="57">
        <v>3519.58</v>
      </c>
      <c r="O106" s="57">
        <v>4040.22</v>
      </c>
      <c r="Q106">
        <v>60</v>
      </c>
      <c r="R106" t="s">
        <v>867</v>
      </c>
      <c r="T106" s="57">
        <v>3432.32</v>
      </c>
      <c r="U106" s="57">
        <v>3519.58</v>
      </c>
      <c r="V106" s="57">
        <v>4040.22</v>
      </c>
    </row>
    <row r="107" spans="1:25" ht="15.75" customHeight="1" x14ac:dyDescent="0.3">
      <c r="A107" s="57" t="s">
        <v>194</v>
      </c>
      <c r="B107" s="57" t="s">
        <v>195</v>
      </c>
      <c r="C107" s="58" t="s">
        <v>299</v>
      </c>
      <c r="D107" s="65" t="s">
        <v>1216</v>
      </c>
      <c r="E107" s="59" t="s">
        <v>1217</v>
      </c>
      <c r="F107" s="55" t="s">
        <v>194</v>
      </c>
      <c r="G107" s="55" t="s">
        <v>195</v>
      </c>
      <c r="H107" t="s">
        <v>300</v>
      </c>
      <c r="I107" t="s">
        <v>299</v>
      </c>
      <c r="J107" t="s">
        <v>301</v>
      </c>
      <c r="K107" s="60">
        <v>11401000001</v>
      </c>
      <c r="L107" s="60" t="s">
        <v>302</v>
      </c>
      <c r="M107" s="57">
        <v>535205</v>
      </c>
      <c r="N107" s="57">
        <v>582907</v>
      </c>
      <c r="O107" s="57">
        <v>724143</v>
      </c>
      <c r="Q107">
        <v>70</v>
      </c>
      <c r="R107" t="s">
        <v>868</v>
      </c>
      <c r="T107" s="57">
        <v>535205</v>
      </c>
      <c r="U107" s="57">
        <v>582907</v>
      </c>
      <c r="V107" s="57">
        <v>724143</v>
      </c>
    </row>
    <row r="108" spans="1:25" ht="15.75" customHeight="1" x14ac:dyDescent="0.3">
      <c r="A108" s="57" t="s">
        <v>194</v>
      </c>
      <c r="B108" s="57" t="s">
        <v>195</v>
      </c>
      <c r="C108" s="58" t="s">
        <v>299</v>
      </c>
      <c r="D108" s="65" t="s">
        <v>1218</v>
      </c>
      <c r="E108" s="59" t="s">
        <v>1219</v>
      </c>
      <c r="F108" s="55" t="s">
        <v>194</v>
      </c>
      <c r="G108" s="55" t="s">
        <v>195</v>
      </c>
      <c r="H108" t="s">
        <v>300</v>
      </c>
      <c r="I108" t="s">
        <v>299</v>
      </c>
      <c r="J108" t="s">
        <v>303</v>
      </c>
      <c r="K108" s="60">
        <v>11401000002</v>
      </c>
      <c r="L108" s="60" t="s">
        <v>304</v>
      </c>
      <c r="M108" s="57">
        <v>6240865</v>
      </c>
      <c r="N108" s="57">
        <v>6586064</v>
      </c>
      <c r="O108" s="57">
        <v>7224408</v>
      </c>
      <c r="Q108">
        <v>70</v>
      </c>
      <c r="R108" t="s">
        <v>872</v>
      </c>
      <c r="T108" s="57">
        <v>6240865</v>
      </c>
      <c r="U108" s="57">
        <v>6586064</v>
      </c>
      <c r="V108" s="57">
        <v>7224408</v>
      </c>
    </row>
    <row r="109" spans="1:25" ht="15.75" customHeight="1" x14ac:dyDescent="0.3">
      <c r="A109" s="57" t="s">
        <v>194</v>
      </c>
      <c r="B109" s="57" t="s">
        <v>195</v>
      </c>
      <c r="C109" s="58" t="s">
        <v>937</v>
      </c>
      <c r="D109" s="58" t="s">
        <v>305</v>
      </c>
      <c r="E109" s="59" t="s">
        <v>1220</v>
      </c>
      <c r="F109" s="55" t="s">
        <v>194</v>
      </c>
      <c r="G109" s="55" t="s">
        <v>195</v>
      </c>
      <c r="H109" t="s">
        <v>300</v>
      </c>
      <c r="I109" t="s">
        <v>306</v>
      </c>
      <c r="J109" t="s">
        <v>305</v>
      </c>
      <c r="K109" s="60">
        <v>11501</v>
      </c>
      <c r="L109" s="60" t="s">
        <v>307</v>
      </c>
      <c r="M109" s="57">
        <v>868622.57</v>
      </c>
      <c r="N109" s="57">
        <v>936213.49</v>
      </c>
      <c r="O109" s="57">
        <v>980210.96</v>
      </c>
      <c r="Q109">
        <v>90</v>
      </c>
      <c r="R109" t="s">
        <v>869</v>
      </c>
      <c r="T109" s="57">
        <v>868622.57</v>
      </c>
      <c r="U109" s="57">
        <v>936213.49</v>
      </c>
      <c r="V109" s="57">
        <v>980210.96</v>
      </c>
      <c r="X109" s="55"/>
    </row>
    <row r="110" spans="1:25" ht="15.75" customHeight="1" x14ac:dyDescent="0.3">
      <c r="A110" s="57" t="s">
        <v>194</v>
      </c>
      <c r="B110" s="57" t="s">
        <v>195</v>
      </c>
      <c r="C110" s="58" t="s">
        <v>937</v>
      </c>
      <c r="D110" s="58" t="s">
        <v>305</v>
      </c>
      <c r="E110" s="59" t="s">
        <v>1220</v>
      </c>
      <c r="F110" s="55" t="s">
        <v>194</v>
      </c>
      <c r="G110" s="55" t="s">
        <v>195</v>
      </c>
      <c r="H110" t="s">
        <v>300</v>
      </c>
      <c r="I110" t="s">
        <v>306</v>
      </c>
      <c r="J110" t="s">
        <v>305</v>
      </c>
      <c r="K110" s="60">
        <v>11502</v>
      </c>
      <c r="L110" s="60" t="s">
        <v>308</v>
      </c>
      <c r="M110" s="57">
        <v>67032.789999999994</v>
      </c>
      <c r="N110" s="57">
        <v>89938</v>
      </c>
      <c r="O110" s="57">
        <v>163022.25</v>
      </c>
      <c r="Q110">
        <v>90</v>
      </c>
      <c r="R110" t="s">
        <v>869</v>
      </c>
      <c r="T110" s="57">
        <v>67032.789999999994</v>
      </c>
      <c r="U110" s="57">
        <v>89938</v>
      </c>
      <c r="V110" s="57">
        <v>163022.25</v>
      </c>
      <c r="X110" s="55"/>
    </row>
    <row r="111" spans="1:25" ht="15.75" customHeight="1" x14ac:dyDescent="0.3">
      <c r="A111" s="57" t="s">
        <v>194</v>
      </c>
      <c r="B111" s="57" t="s">
        <v>309</v>
      </c>
      <c r="C111" s="58" t="s">
        <v>1221</v>
      </c>
      <c r="D111" s="58" t="s">
        <v>1222</v>
      </c>
      <c r="E111" s="59" t="s">
        <v>1223</v>
      </c>
      <c r="F111" s="55" t="s">
        <v>194</v>
      </c>
      <c r="G111" s="55" t="s">
        <v>195</v>
      </c>
      <c r="H111" t="s">
        <v>300</v>
      </c>
      <c r="I111" t="s">
        <v>306</v>
      </c>
      <c r="J111" t="s">
        <v>305</v>
      </c>
      <c r="K111" s="60">
        <v>22211000005</v>
      </c>
      <c r="L111" s="60" t="s">
        <v>310</v>
      </c>
      <c r="M111" s="57">
        <v>-110931.36</v>
      </c>
      <c r="N111" s="57">
        <v>-49459.68</v>
      </c>
      <c r="O111" s="57">
        <v>-103771.32</v>
      </c>
      <c r="Q111">
        <v>90</v>
      </c>
      <c r="R111" t="s">
        <v>869</v>
      </c>
      <c r="T111" s="57">
        <v>-110931.36</v>
      </c>
      <c r="U111" s="57">
        <v>-49459.68</v>
      </c>
      <c r="V111" s="57">
        <v>-103771.32</v>
      </c>
      <c r="X111" s="55"/>
    </row>
    <row r="112" spans="1:25" ht="15.75" customHeight="1" x14ac:dyDescent="0.3">
      <c r="A112" s="57" t="s">
        <v>194</v>
      </c>
      <c r="B112" s="57" t="s">
        <v>195</v>
      </c>
      <c r="C112" s="58" t="s">
        <v>937</v>
      </c>
      <c r="D112" s="58" t="s">
        <v>305</v>
      </c>
      <c r="E112" s="59" t="s">
        <v>1220</v>
      </c>
      <c r="F112" s="55" t="s">
        <v>194</v>
      </c>
      <c r="G112" s="55" t="s">
        <v>195</v>
      </c>
      <c r="H112" t="s">
        <v>300</v>
      </c>
      <c r="I112" t="s">
        <v>306</v>
      </c>
      <c r="J112" t="s">
        <v>305</v>
      </c>
      <c r="K112" s="60">
        <v>11590</v>
      </c>
      <c r="L112" s="60" t="s">
        <v>311</v>
      </c>
      <c r="M112" s="57">
        <v>7583.09</v>
      </c>
      <c r="N112" s="57">
        <v>7583.09</v>
      </c>
      <c r="O112" s="57">
        <v>7583.09</v>
      </c>
      <c r="Q112">
        <v>90</v>
      </c>
      <c r="R112" t="s">
        <v>869</v>
      </c>
      <c r="T112" s="57">
        <v>7583.09</v>
      </c>
      <c r="U112" s="57">
        <v>7583.09</v>
      </c>
      <c r="V112" s="57">
        <v>7583.09</v>
      </c>
      <c r="X112" s="55"/>
    </row>
    <row r="113" spans="1:26" ht="15.75" customHeight="1" x14ac:dyDescent="0.3">
      <c r="A113" s="57" t="s">
        <v>194</v>
      </c>
      <c r="B113" s="57" t="s">
        <v>195</v>
      </c>
      <c r="C113" s="58" t="s">
        <v>937</v>
      </c>
      <c r="D113" s="58" t="s">
        <v>305</v>
      </c>
      <c r="E113" s="59" t="s">
        <v>1220</v>
      </c>
      <c r="F113" s="55" t="s">
        <v>194</v>
      </c>
      <c r="G113" s="55" t="s">
        <v>195</v>
      </c>
      <c r="H113" t="s">
        <v>300</v>
      </c>
      <c r="I113" t="s">
        <v>306</v>
      </c>
      <c r="J113" t="s">
        <v>312</v>
      </c>
      <c r="K113" s="60">
        <v>11504</v>
      </c>
      <c r="L113" s="60" t="s">
        <v>313</v>
      </c>
      <c r="M113" s="57">
        <v>-20013.95</v>
      </c>
      <c r="N113" s="57">
        <v>-120972.09</v>
      </c>
      <c r="O113" s="57">
        <v>-49288.43</v>
      </c>
      <c r="Q113">
        <v>90</v>
      </c>
      <c r="R113" t="s">
        <v>877</v>
      </c>
      <c r="T113" s="57">
        <v>-20013.95</v>
      </c>
      <c r="U113" s="57">
        <v>-120972.09</v>
      </c>
      <c r="V113" s="57">
        <v>-49288.43</v>
      </c>
      <c r="X113" s="55"/>
    </row>
    <row r="114" spans="1:26" ht="15.75" customHeight="1" x14ac:dyDescent="0.3">
      <c r="A114" s="57" t="s">
        <v>194</v>
      </c>
      <c r="B114" s="57" t="s">
        <v>195</v>
      </c>
      <c r="C114" s="58" t="s">
        <v>937</v>
      </c>
      <c r="D114" s="58" t="s">
        <v>305</v>
      </c>
      <c r="E114" s="59" t="s">
        <v>1220</v>
      </c>
      <c r="F114" s="55" t="s">
        <v>194</v>
      </c>
      <c r="G114" s="55" t="s">
        <v>195</v>
      </c>
      <c r="H114" t="s">
        <v>300</v>
      </c>
      <c r="I114" t="s">
        <v>306</v>
      </c>
      <c r="J114" t="s">
        <v>305</v>
      </c>
      <c r="K114" s="60">
        <v>11500</v>
      </c>
      <c r="L114" s="60" t="s">
        <v>305</v>
      </c>
      <c r="M114" s="57">
        <v>8186359.5899999999</v>
      </c>
      <c r="N114" s="57">
        <v>8356210.4199999999</v>
      </c>
      <c r="O114" s="57">
        <v>8934394.6799999997</v>
      </c>
      <c r="Q114">
        <v>90</v>
      </c>
      <c r="R114" t="s">
        <v>869</v>
      </c>
      <c r="T114" s="57">
        <v>8186359.5899999999</v>
      </c>
      <c r="U114" s="57">
        <v>8356210.4199999999</v>
      </c>
      <c r="V114" s="57">
        <v>8934394.6799999997</v>
      </c>
      <c r="X114" s="55"/>
    </row>
    <row r="115" spans="1:26" ht="15.75" customHeight="1" x14ac:dyDescent="0.3">
      <c r="A115" s="57" t="s">
        <v>194</v>
      </c>
      <c r="B115" s="57" t="s">
        <v>195</v>
      </c>
      <c r="C115" s="58" t="s">
        <v>937</v>
      </c>
      <c r="D115" s="58" t="s">
        <v>305</v>
      </c>
      <c r="E115" s="59" t="s">
        <v>1220</v>
      </c>
      <c r="F115" s="55" t="s">
        <v>194</v>
      </c>
      <c r="G115" s="55" t="s">
        <v>195</v>
      </c>
      <c r="H115" t="s">
        <v>300</v>
      </c>
      <c r="I115" t="s">
        <v>306</v>
      </c>
      <c r="J115" t="s">
        <v>305</v>
      </c>
      <c r="K115" s="60">
        <v>11503</v>
      </c>
      <c r="L115" s="60" t="s">
        <v>314</v>
      </c>
      <c r="M115" s="57">
        <v>1138</v>
      </c>
      <c r="N115" s="57">
        <v>5513.9</v>
      </c>
      <c r="O115" s="57">
        <v>0</v>
      </c>
      <c r="Q115">
        <v>90</v>
      </c>
      <c r="R115" t="s">
        <v>869</v>
      </c>
      <c r="T115" s="57">
        <v>1138</v>
      </c>
      <c r="U115" s="57">
        <v>5513.9</v>
      </c>
      <c r="V115" s="57">
        <v>0</v>
      </c>
      <c r="X115" s="55"/>
    </row>
    <row r="116" spans="1:26" ht="15.75" customHeight="1" x14ac:dyDescent="0.3">
      <c r="A116" s="57" t="s">
        <v>194</v>
      </c>
      <c r="B116" s="57" t="s">
        <v>195</v>
      </c>
      <c r="C116" s="58" t="s">
        <v>937</v>
      </c>
      <c r="D116" s="58" t="s">
        <v>305</v>
      </c>
      <c r="E116" s="59" t="s">
        <v>1220</v>
      </c>
      <c r="F116" s="55" t="s">
        <v>194</v>
      </c>
      <c r="G116" s="55" t="s">
        <v>195</v>
      </c>
      <c r="H116" t="s">
        <v>300</v>
      </c>
      <c r="I116" t="s">
        <v>306</v>
      </c>
      <c r="J116" t="s">
        <v>305</v>
      </c>
      <c r="K116" s="60">
        <v>11701000062</v>
      </c>
      <c r="L116" s="60" t="s">
        <v>315</v>
      </c>
      <c r="M116" s="57">
        <v>0</v>
      </c>
      <c r="N116" s="57">
        <v>124727.55</v>
      </c>
      <c r="O116" s="57">
        <v>0</v>
      </c>
      <c r="Q116">
        <v>90</v>
      </c>
      <c r="R116" t="s">
        <v>869</v>
      </c>
      <c r="T116" s="57">
        <v>0</v>
      </c>
      <c r="U116" s="57">
        <v>124727.55</v>
      </c>
      <c r="V116" s="57">
        <v>0</v>
      </c>
      <c r="X116" s="55"/>
    </row>
    <row r="117" spans="1:26" ht="15.75" customHeight="1" x14ac:dyDescent="0.3">
      <c r="A117" s="57" t="s">
        <v>194</v>
      </c>
      <c r="B117" s="57" t="s">
        <v>195</v>
      </c>
      <c r="C117" s="58" t="s">
        <v>937</v>
      </c>
      <c r="D117" s="58" t="s">
        <v>305</v>
      </c>
      <c r="E117" s="59" t="s">
        <v>1220</v>
      </c>
      <c r="F117" s="55" t="s">
        <v>194</v>
      </c>
      <c r="G117" s="55" t="s">
        <v>195</v>
      </c>
      <c r="H117" t="s">
        <v>300</v>
      </c>
      <c r="I117" t="s">
        <v>306</v>
      </c>
      <c r="J117" t="s">
        <v>305</v>
      </c>
      <c r="K117" s="60">
        <v>11803000001</v>
      </c>
      <c r="L117" s="60" t="s">
        <v>316</v>
      </c>
      <c r="M117" s="57">
        <v>30344.799999999999</v>
      </c>
      <c r="N117" s="57">
        <v>54621.94</v>
      </c>
      <c r="O117" s="57">
        <v>149941.6</v>
      </c>
      <c r="Q117">
        <v>90</v>
      </c>
      <c r="R117" t="s">
        <v>869</v>
      </c>
      <c r="T117" s="57">
        <v>30344.799999999999</v>
      </c>
      <c r="U117" s="57">
        <v>54621.94</v>
      </c>
      <c r="V117" s="57">
        <v>149941.6</v>
      </c>
      <c r="X117" s="55"/>
    </row>
    <row r="118" spans="1:26" ht="15.75" customHeight="1" x14ac:dyDescent="0.3">
      <c r="A118" s="57" t="s">
        <v>194</v>
      </c>
      <c r="B118" s="57" t="s">
        <v>195</v>
      </c>
      <c r="C118" s="58" t="s">
        <v>937</v>
      </c>
      <c r="D118" s="58" t="s">
        <v>1224</v>
      </c>
      <c r="E118" s="59" t="s">
        <v>1225</v>
      </c>
      <c r="F118" s="55" t="s">
        <v>194</v>
      </c>
      <c r="G118" s="55" t="s">
        <v>195</v>
      </c>
      <c r="H118" s="64" t="s">
        <v>300</v>
      </c>
      <c r="I118" s="64" t="s">
        <v>317</v>
      </c>
      <c r="J118" s="64" t="s">
        <v>318</v>
      </c>
      <c r="K118" s="60">
        <v>11510000030</v>
      </c>
      <c r="L118" s="60" t="s">
        <v>319</v>
      </c>
      <c r="M118" s="57">
        <v>206943.9</v>
      </c>
      <c r="N118" s="57">
        <v>132196.96</v>
      </c>
      <c r="O118" s="57">
        <v>532881.71</v>
      </c>
      <c r="Q118">
        <v>100</v>
      </c>
      <c r="R118" t="s">
        <v>919</v>
      </c>
      <c r="T118" s="57">
        <v>206943.9</v>
      </c>
      <c r="U118" s="57">
        <v>132196.96</v>
      </c>
      <c r="V118" s="57">
        <v>532881.71</v>
      </c>
      <c r="X118" s="55"/>
      <c r="Y118" s="55"/>
      <c r="Z118" s="55"/>
    </row>
    <row r="119" spans="1:26" ht="15.75" customHeight="1" x14ac:dyDescent="0.3">
      <c r="A119" s="57" t="s">
        <v>194</v>
      </c>
      <c r="B119" s="57" t="s">
        <v>195</v>
      </c>
      <c r="C119" s="58" t="s">
        <v>937</v>
      </c>
      <c r="D119" s="58" t="s">
        <v>297</v>
      </c>
      <c r="E119" s="59" t="s">
        <v>1226</v>
      </c>
      <c r="F119" s="55" t="s">
        <v>194</v>
      </c>
      <c r="G119" s="55" t="s">
        <v>195</v>
      </c>
      <c r="H119" t="s">
        <v>300</v>
      </c>
      <c r="I119" t="s">
        <v>317</v>
      </c>
      <c r="J119" t="s">
        <v>297</v>
      </c>
      <c r="K119" s="60">
        <v>11510000029</v>
      </c>
      <c r="L119" s="60" t="s">
        <v>320</v>
      </c>
      <c r="M119" s="57">
        <v>400</v>
      </c>
      <c r="N119" s="57">
        <v>0</v>
      </c>
      <c r="O119" s="57">
        <v>0</v>
      </c>
      <c r="Q119">
        <v>100</v>
      </c>
      <c r="R119" t="s">
        <v>917</v>
      </c>
      <c r="T119" s="57">
        <v>400</v>
      </c>
      <c r="U119" s="57">
        <v>0</v>
      </c>
      <c r="V119" s="57">
        <v>0</v>
      </c>
      <c r="X119" s="55"/>
      <c r="Y119" s="55"/>
      <c r="Z119" s="55"/>
    </row>
    <row r="120" spans="1:26" ht="15.75" customHeight="1" x14ac:dyDescent="0.3">
      <c r="A120" s="57" t="s">
        <v>194</v>
      </c>
      <c r="B120" s="57" t="s">
        <v>195</v>
      </c>
      <c r="C120" s="58" t="s">
        <v>937</v>
      </c>
      <c r="D120" s="58" t="s">
        <v>130</v>
      </c>
      <c r="E120" s="59" t="s">
        <v>1227</v>
      </c>
      <c r="F120" s="55" t="s">
        <v>194</v>
      </c>
      <c r="G120" s="55" t="s">
        <v>195</v>
      </c>
      <c r="H120" t="s">
        <v>300</v>
      </c>
      <c r="I120" t="s">
        <v>130</v>
      </c>
      <c r="J120" t="s">
        <v>130</v>
      </c>
      <c r="K120" s="60">
        <v>11510000051</v>
      </c>
      <c r="L120" s="60" t="s">
        <v>321</v>
      </c>
      <c r="M120" s="57">
        <v>31442.69</v>
      </c>
      <c r="N120" s="57">
        <v>0</v>
      </c>
      <c r="O120" s="57">
        <v>0</v>
      </c>
      <c r="Q120">
        <v>80</v>
      </c>
      <c r="R120" t="s">
        <v>882</v>
      </c>
      <c r="T120" s="57">
        <v>31442.69</v>
      </c>
      <c r="U120" s="57">
        <v>0</v>
      </c>
      <c r="V120" s="57">
        <v>0</v>
      </c>
      <c r="X120" s="55"/>
      <c r="Y120" s="55"/>
      <c r="Z120" s="55"/>
    </row>
    <row r="121" spans="1:26" ht="15.75" customHeight="1" x14ac:dyDescent="0.3">
      <c r="A121" s="57" t="s">
        <v>194</v>
      </c>
      <c r="B121" s="57" t="s">
        <v>195</v>
      </c>
      <c r="C121" s="58" t="s">
        <v>937</v>
      </c>
      <c r="D121" s="58" t="s">
        <v>130</v>
      </c>
      <c r="E121" s="59" t="s">
        <v>1227</v>
      </c>
      <c r="F121" s="55" t="s">
        <v>194</v>
      </c>
      <c r="G121" s="55" t="s">
        <v>195</v>
      </c>
      <c r="H121" t="s">
        <v>300</v>
      </c>
      <c r="I121" t="s">
        <v>130</v>
      </c>
      <c r="J121" t="s">
        <v>130</v>
      </c>
      <c r="K121" s="60">
        <v>11510000052</v>
      </c>
      <c r="L121" s="60" t="s">
        <v>322</v>
      </c>
      <c r="M121" s="57">
        <v>27004</v>
      </c>
      <c r="N121" s="57">
        <v>0</v>
      </c>
      <c r="O121" s="57">
        <v>0</v>
      </c>
      <c r="Q121">
        <v>80</v>
      </c>
      <c r="R121" t="s">
        <v>882</v>
      </c>
      <c r="T121" s="57">
        <v>27004</v>
      </c>
      <c r="U121" s="57">
        <v>0</v>
      </c>
      <c r="V121" s="57">
        <v>0</v>
      </c>
      <c r="X121" s="55"/>
      <c r="Y121" s="55"/>
      <c r="Z121" s="55"/>
    </row>
    <row r="122" spans="1:26" ht="15.75" customHeight="1" x14ac:dyDescent="0.3">
      <c r="A122" s="57" t="s">
        <v>194</v>
      </c>
      <c r="B122" s="57" t="s">
        <v>195</v>
      </c>
      <c r="C122" s="58" t="s">
        <v>937</v>
      </c>
      <c r="D122" s="68" t="s">
        <v>130</v>
      </c>
      <c r="E122" s="59" t="s">
        <v>1227</v>
      </c>
      <c r="F122" s="55" t="s">
        <v>194</v>
      </c>
      <c r="G122" s="55" t="s">
        <v>195</v>
      </c>
      <c r="H122" t="s">
        <v>300</v>
      </c>
      <c r="I122" t="s">
        <v>130</v>
      </c>
      <c r="J122" t="s">
        <v>130</v>
      </c>
      <c r="K122" s="60">
        <v>11509000002</v>
      </c>
      <c r="L122" s="60" t="s">
        <v>323</v>
      </c>
      <c r="M122" s="57">
        <v>274733.38</v>
      </c>
      <c r="N122" s="57">
        <v>247331.36</v>
      </c>
      <c r="O122" s="57">
        <v>40307.550000000003</v>
      </c>
      <c r="Q122">
        <v>80</v>
      </c>
      <c r="R122" t="s">
        <v>882</v>
      </c>
      <c r="T122" s="57">
        <v>274733.38</v>
      </c>
      <c r="U122" s="57">
        <v>247331.36</v>
      </c>
      <c r="V122" s="57">
        <v>40307.550000000003</v>
      </c>
      <c r="X122" s="55"/>
      <c r="Y122" s="55"/>
      <c r="Z122" s="55"/>
    </row>
    <row r="123" spans="1:26" ht="15.75" customHeight="1" x14ac:dyDescent="0.3">
      <c r="A123" s="57" t="s">
        <v>194</v>
      </c>
      <c r="B123" s="57" t="s">
        <v>195</v>
      </c>
      <c r="C123" s="58" t="s">
        <v>937</v>
      </c>
      <c r="D123" s="68" t="s">
        <v>130</v>
      </c>
      <c r="E123" s="59" t="s">
        <v>1227</v>
      </c>
      <c r="F123" s="55" t="s">
        <v>194</v>
      </c>
      <c r="G123" s="55" t="s">
        <v>195</v>
      </c>
      <c r="H123" t="s">
        <v>300</v>
      </c>
      <c r="I123" t="s">
        <v>130</v>
      </c>
      <c r="J123" t="s">
        <v>130</v>
      </c>
      <c r="K123" s="60">
        <v>11510000002</v>
      </c>
      <c r="L123" s="60" t="s">
        <v>324</v>
      </c>
      <c r="M123" s="57">
        <v>8341.23</v>
      </c>
      <c r="N123" s="57">
        <v>45029.03</v>
      </c>
      <c r="O123" s="57">
        <v>0</v>
      </c>
      <c r="Q123">
        <v>80</v>
      </c>
      <c r="R123" t="s">
        <v>883</v>
      </c>
      <c r="T123" s="57">
        <v>8341.23</v>
      </c>
      <c r="U123" s="57">
        <v>45029.03</v>
      </c>
      <c r="V123" s="57">
        <v>0</v>
      </c>
      <c r="X123" s="55"/>
      <c r="Y123" s="55"/>
      <c r="Z123" s="55"/>
    </row>
    <row r="124" spans="1:26" ht="15.75" customHeight="1" x14ac:dyDescent="0.3">
      <c r="A124" s="57" t="s">
        <v>194</v>
      </c>
      <c r="B124" s="57" t="s">
        <v>195</v>
      </c>
      <c r="C124" s="58" t="s">
        <v>937</v>
      </c>
      <c r="D124" s="68" t="s">
        <v>130</v>
      </c>
      <c r="E124" s="59" t="s">
        <v>1227</v>
      </c>
      <c r="F124" s="55" t="s">
        <v>194</v>
      </c>
      <c r="G124" s="55" t="s">
        <v>195</v>
      </c>
      <c r="H124" t="s">
        <v>300</v>
      </c>
      <c r="I124" t="s">
        <v>130</v>
      </c>
      <c r="J124" t="s">
        <v>130</v>
      </c>
      <c r="K124" s="60">
        <v>11510000003</v>
      </c>
      <c r="L124" s="60" t="s">
        <v>325</v>
      </c>
      <c r="M124" s="57">
        <v>21.69</v>
      </c>
      <c r="N124" s="57">
        <v>5961.71</v>
      </c>
      <c r="O124" s="57">
        <v>10552.61</v>
      </c>
      <c r="Q124">
        <v>80</v>
      </c>
      <c r="R124" t="s">
        <v>884</v>
      </c>
      <c r="T124" s="57">
        <v>21.69</v>
      </c>
      <c r="U124" s="57">
        <v>5961.71</v>
      </c>
      <c r="V124" s="57">
        <v>10552.61</v>
      </c>
      <c r="X124" s="55"/>
      <c r="Y124" s="55"/>
      <c r="Z124" s="55"/>
    </row>
    <row r="125" spans="1:26" ht="15.75" customHeight="1" x14ac:dyDescent="0.3">
      <c r="A125" s="57" t="s">
        <v>194</v>
      </c>
      <c r="B125" s="57" t="s">
        <v>195</v>
      </c>
      <c r="C125" s="58" t="s">
        <v>937</v>
      </c>
      <c r="D125" s="68" t="s">
        <v>130</v>
      </c>
      <c r="E125" s="59" t="s">
        <v>1227</v>
      </c>
      <c r="F125" s="55" t="s">
        <v>194</v>
      </c>
      <c r="G125" s="55" t="s">
        <v>195</v>
      </c>
      <c r="H125" t="s">
        <v>300</v>
      </c>
      <c r="I125" t="s">
        <v>130</v>
      </c>
      <c r="J125" t="s">
        <v>130</v>
      </c>
      <c r="K125" s="60">
        <v>11510000050</v>
      </c>
      <c r="L125" s="60" t="s">
        <v>326</v>
      </c>
      <c r="M125" s="57">
        <v>38015</v>
      </c>
      <c r="N125" s="57">
        <v>38015</v>
      </c>
      <c r="O125" s="57">
        <v>4301</v>
      </c>
      <c r="Q125">
        <v>80</v>
      </c>
      <c r="R125" t="s">
        <v>884</v>
      </c>
      <c r="T125" s="57">
        <v>38015</v>
      </c>
      <c r="U125" s="57">
        <v>38015</v>
      </c>
      <c r="V125" s="57">
        <v>4301</v>
      </c>
      <c r="X125" s="55"/>
      <c r="Y125" s="55"/>
      <c r="Z125" s="55"/>
    </row>
    <row r="126" spans="1:26" ht="15.75" customHeight="1" x14ac:dyDescent="0.3">
      <c r="A126" s="57" t="s">
        <v>194</v>
      </c>
      <c r="B126" s="57" t="s">
        <v>195</v>
      </c>
      <c r="C126" s="58" t="s">
        <v>937</v>
      </c>
      <c r="D126" s="68" t="s">
        <v>130</v>
      </c>
      <c r="E126" s="59" t="s">
        <v>1227</v>
      </c>
      <c r="F126" s="55" t="s">
        <v>194</v>
      </c>
      <c r="G126" s="55" t="s">
        <v>195</v>
      </c>
      <c r="H126" t="s">
        <v>300</v>
      </c>
      <c r="I126" t="s">
        <v>130</v>
      </c>
      <c r="J126" t="s">
        <v>130</v>
      </c>
      <c r="K126" s="69">
        <v>22221000019</v>
      </c>
      <c r="L126" s="69" t="s">
        <v>327</v>
      </c>
      <c r="M126" s="57">
        <v>416.47</v>
      </c>
      <c r="N126" s="57">
        <v>416.26</v>
      </c>
      <c r="O126" s="57">
        <v>2931.27</v>
      </c>
      <c r="Q126">
        <v>80</v>
      </c>
      <c r="R126" t="s">
        <v>884</v>
      </c>
      <c r="T126" s="57">
        <v>416.47</v>
      </c>
      <c r="U126" s="57">
        <v>416.26</v>
      </c>
      <c r="V126" s="57">
        <v>2931.27</v>
      </c>
      <c r="X126" s="55"/>
      <c r="Y126" s="55"/>
      <c r="Z126" s="55"/>
    </row>
    <row r="127" spans="1:26" ht="15.75" customHeight="1" x14ac:dyDescent="0.3">
      <c r="A127" s="57" t="s">
        <v>194</v>
      </c>
      <c r="B127" s="57" t="s">
        <v>195</v>
      </c>
      <c r="C127" s="58" t="s">
        <v>937</v>
      </c>
      <c r="D127" s="68" t="s">
        <v>130</v>
      </c>
      <c r="E127" s="59" t="s">
        <v>1227</v>
      </c>
      <c r="F127" s="55" t="s">
        <v>194</v>
      </c>
      <c r="G127" s="55" t="s">
        <v>195</v>
      </c>
      <c r="H127" t="s">
        <v>300</v>
      </c>
      <c r="I127" t="s">
        <v>130</v>
      </c>
      <c r="J127" t="s">
        <v>130</v>
      </c>
      <c r="K127" s="60">
        <v>11510000015</v>
      </c>
      <c r="L127" s="60" t="s">
        <v>328</v>
      </c>
      <c r="M127" s="57">
        <v>0</v>
      </c>
      <c r="N127" s="57">
        <v>3704.71</v>
      </c>
      <c r="O127" s="57">
        <v>1834.48</v>
      </c>
      <c r="Q127">
        <v>80</v>
      </c>
      <c r="R127" t="s">
        <v>884</v>
      </c>
      <c r="T127" s="57">
        <v>0</v>
      </c>
      <c r="U127" s="57">
        <v>3704.71</v>
      </c>
      <c r="V127" s="57">
        <v>1834.48</v>
      </c>
      <c r="X127" s="55"/>
      <c r="Y127" s="55"/>
      <c r="Z127" s="55"/>
    </row>
    <row r="128" spans="1:26" ht="15.75" customHeight="1" x14ac:dyDescent="0.3">
      <c r="A128" s="57" t="s">
        <v>194</v>
      </c>
      <c r="B128" s="57" t="s">
        <v>195</v>
      </c>
      <c r="C128" s="58" t="s">
        <v>937</v>
      </c>
      <c r="D128" s="68" t="s">
        <v>1228</v>
      </c>
      <c r="E128" s="59" t="s">
        <v>1229</v>
      </c>
      <c r="F128" s="55" t="s">
        <v>194</v>
      </c>
      <c r="G128" s="55" t="s">
        <v>195</v>
      </c>
      <c r="H128" s="64" t="s">
        <v>196</v>
      </c>
      <c r="I128" s="64" t="s">
        <v>329</v>
      </c>
      <c r="J128" s="64" t="s">
        <v>329</v>
      </c>
      <c r="K128" s="60">
        <v>11510000016</v>
      </c>
      <c r="L128" s="60" t="s">
        <v>330</v>
      </c>
      <c r="M128" s="57">
        <v>224049.47</v>
      </c>
      <c r="N128" s="57">
        <v>224049.47</v>
      </c>
      <c r="O128" s="57">
        <v>224049.47</v>
      </c>
      <c r="Q128">
        <v>50</v>
      </c>
      <c r="R128" t="s">
        <v>915</v>
      </c>
      <c r="T128" s="57">
        <v>224049.47</v>
      </c>
      <c r="U128" s="57">
        <v>224049.47</v>
      </c>
      <c r="V128" s="57">
        <v>224049.47</v>
      </c>
    </row>
    <row r="129" spans="1:26" ht="15.75" customHeight="1" x14ac:dyDescent="0.3">
      <c r="A129" s="57" t="s">
        <v>194</v>
      </c>
      <c r="B129" s="57" t="s">
        <v>195</v>
      </c>
      <c r="C129" s="58" t="s">
        <v>937</v>
      </c>
      <c r="D129" s="58" t="s">
        <v>297</v>
      </c>
      <c r="E129" s="59" t="s">
        <v>1226</v>
      </c>
      <c r="F129" s="55" t="s">
        <v>194</v>
      </c>
      <c r="G129" s="55" t="s">
        <v>195</v>
      </c>
      <c r="H129" t="s">
        <v>300</v>
      </c>
      <c r="I129" t="s">
        <v>317</v>
      </c>
      <c r="J129" t="s">
        <v>297</v>
      </c>
      <c r="K129" s="60">
        <v>11510000004</v>
      </c>
      <c r="L129" s="60" t="s">
        <v>331</v>
      </c>
      <c r="M129" s="57">
        <v>0</v>
      </c>
      <c r="N129" s="57">
        <v>0</v>
      </c>
      <c r="O129" s="57">
        <v>1662.08</v>
      </c>
      <c r="Q129">
        <v>100</v>
      </c>
      <c r="R129" t="s">
        <v>917</v>
      </c>
      <c r="T129" s="57">
        <v>0</v>
      </c>
      <c r="U129" s="57">
        <v>0</v>
      </c>
      <c r="V129" s="57">
        <v>1662.08</v>
      </c>
      <c r="X129" s="55"/>
      <c r="Y129" s="55"/>
      <c r="Z129" s="55"/>
    </row>
    <row r="130" spans="1:26" ht="15.75" customHeight="1" x14ac:dyDescent="0.3">
      <c r="A130" s="57" t="s">
        <v>194</v>
      </c>
      <c r="B130" s="57" t="s">
        <v>195</v>
      </c>
      <c r="C130" s="58" t="s">
        <v>937</v>
      </c>
      <c r="D130" s="58" t="s">
        <v>297</v>
      </c>
      <c r="E130" s="59" t="s">
        <v>1226</v>
      </c>
      <c r="F130" s="55" t="s">
        <v>194</v>
      </c>
      <c r="G130" s="55" t="s">
        <v>195</v>
      </c>
      <c r="H130" t="s">
        <v>300</v>
      </c>
      <c r="I130" t="s">
        <v>317</v>
      </c>
      <c r="J130" t="s">
        <v>297</v>
      </c>
      <c r="K130" s="60">
        <v>11510000005</v>
      </c>
      <c r="L130" s="60" t="s">
        <v>332</v>
      </c>
      <c r="M130" s="57">
        <v>8161.62</v>
      </c>
      <c r="N130" s="57">
        <v>8161.62</v>
      </c>
      <c r="O130" s="57">
        <v>8161.62</v>
      </c>
      <c r="Q130">
        <v>100</v>
      </c>
      <c r="R130" t="s">
        <v>917</v>
      </c>
      <c r="T130" s="57">
        <v>8161.62</v>
      </c>
      <c r="U130" s="57">
        <v>8161.62</v>
      </c>
      <c r="V130" s="57">
        <v>8161.62</v>
      </c>
      <c r="X130" s="55"/>
      <c r="Y130" s="55"/>
      <c r="Z130" s="55"/>
    </row>
    <row r="131" spans="1:26" ht="15.75" customHeight="1" x14ac:dyDescent="0.3">
      <c r="A131" s="57" t="s">
        <v>194</v>
      </c>
      <c r="B131" s="57" t="s">
        <v>195</v>
      </c>
      <c r="C131" s="58" t="s">
        <v>937</v>
      </c>
      <c r="D131" s="58" t="s">
        <v>297</v>
      </c>
      <c r="E131" s="59" t="s">
        <v>1226</v>
      </c>
      <c r="F131" s="55" t="s">
        <v>194</v>
      </c>
      <c r="G131" s="55" t="s">
        <v>195</v>
      </c>
      <c r="H131" t="s">
        <v>300</v>
      </c>
      <c r="I131" t="s">
        <v>317</v>
      </c>
      <c r="J131" t="s">
        <v>297</v>
      </c>
      <c r="K131" s="60">
        <v>11510000008</v>
      </c>
      <c r="L131" s="60" t="s">
        <v>333</v>
      </c>
      <c r="M131" s="57">
        <v>2950</v>
      </c>
      <c r="N131" s="57">
        <v>2950</v>
      </c>
      <c r="O131" s="57">
        <v>2950</v>
      </c>
      <c r="Q131">
        <v>100</v>
      </c>
      <c r="R131" t="s">
        <v>917</v>
      </c>
      <c r="T131" s="57">
        <v>2950</v>
      </c>
      <c r="U131" s="57">
        <v>2950</v>
      </c>
      <c r="V131" s="57">
        <v>2950</v>
      </c>
      <c r="X131" s="55"/>
      <c r="Y131" s="55"/>
      <c r="Z131" s="55"/>
    </row>
    <row r="132" spans="1:26" ht="15.75" customHeight="1" x14ac:dyDescent="0.3">
      <c r="A132" s="57" t="s">
        <v>194</v>
      </c>
      <c r="B132" s="57" t="s">
        <v>195</v>
      </c>
      <c r="C132" s="58" t="s">
        <v>937</v>
      </c>
      <c r="D132" s="58" t="s">
        <v>297</v>
      </c>
      <c r="E132" s="59" t="s">
        <v>1226</v>
      </c>
      <c r="F132" s="55" t="s">
        <v>194</v>
      </c>
      <c r="G132" s="55" t="s">
        <v>195</v>
      </c>
      <c r="H132" t="s">
        <v>300</v>
      </c>
      <c r="I132" t="s">
        <v>317</v>
      </c>
      <c r="J132" t="s">
        <v>297</v>
      </c>
      <c r="K132" s="60">
        <v>11510000018</v>
      </c>
      <c r="L132" s="60" t="s">
        <v>334</v>
      </c>
      <c r="M132" s="57">
        <v>18063.47</v>
      </c>
      <c r="N132" s="57">
        <v>115841.47</v>
      </c>
      <c r="O132" s="57">
        <v>0</v>
      </c>
      <c r="Q132">
        <v>100</v>
      </c>
      <c r="R132" t="s">
        <v>917</v>
      </c>
      <c r="T132" s="57">
        <v>18063.47</v>
      </c>
      <c r="U132" s="57">
        <v>115841.47</v>
      </c>
      <c r="V132" s="57">
        <v>0</v>
      </c>
      <c r="X132" s="55"/>
      <c r="Y132" s="55"/>
      <c r="Z132" s="55"/>
    </row>
    <row r="133" spans="1:26" ht="15.75" customHeight="1" x14ac:dyDescent="0.3">
      <c r="A133" s="57" t="s">
        <v>194</v>
      </c>
      <c r="B133" s="57" t="s">
        <v>195</v>
      </c>
      <c r="C133" s="58" t="s">
        <v>937</v>
      </c>
      <c r="D133" s="58" t="s">
        <v>297</v>
      </c>
      <c r="E133" s="59" t="s">
        <v>1226</v>
      </c>
      <c r="F133" s="55" t="s">
        <v>194</v>
      </c>
      <c r="G133" s="55" t="s">
        <v>195</v>
      </c>
      <c r="H133" t="s">
        <v>300</v>
      </c>
      <c r="I133" t="s">
        <v>317</v>
      </c>
      <c r="J133" t="s">
        <v>297</v>
      </c>
      <c r="K133" s="60">
        <v>11510000019</v>
      </c>
      <c r="L133" s="60" t="s">
        <v>335</v>
      </c>
      <c r="M133" s="57">
        <v>209570.11</v>
      </c>
      <c r="N133" s="57">
        <v>183845.6</v>
      </c>
      <c r="O133" s="57">
        <v>183845.6</v>
      </c>
      <c r="Q133">
        <v>100</v>
      </c>
      <c r="R133" t="s">
        <v>917</v>
      </c>
      <c r="T133" s="57">
        <v>209570.11</v>
      </c>
      <c r="U133" s="57">
        <v>183845.6</v>
      </c>
      <c r="V133" s="57">
        <v>183845.6</v>
      </c>
      <c r="X133" s="55"/>
      <c r="Y133" s="55"/>
      <c r="Z133" s="55"/>
    </row>
    <row r="134" spans="1:26" ht="15.75" customHeight="1" x14ac:dyDescent="0.3">
      <c r="A134" s="57" t="s">
        <v>194</v>
      </c>
      <c r="B134" s="57" t="s">
        <v>195</v>
      </c>
      <c r="C134" s="58" t="s">
        <v>937</v>
      </c>
      <c r="D134" s="58" t="s">
        <v>297</v>
      </c>
      <c r="E134" s="59" t="s">
        <v>1226</v>
      </c>
      <c r="F134" s="55" t="s">
        <v>194</v>
      </c>
      <c r="G134" s="55" t="s">
        <v>195</v>
      </c>
      <c r="H134" t="s">
        <v>300</v>
      </c>
      <c r="I134" t="s">
        <v>317</v>
      </c>
      <c r="J134" t="s">
        <v>297</v>
      </c>
      <c r="K134" s="60">
        <v>11510000024</v>
      </c>
      <c r="L134" s="60" t="s">
        <v>336</v>
      </c>
      <c r="M134" s="57">
        <v>3110</v>
      </c>
      <c r="N134" s="57">
        <v>285971.84999999998</v>
      </c>
      <c r="O134" s="57">
        <v>24021.439999999999</v>
      </c>
      <c r="Q134">
        <v>100</v>
      </c>
      <c r="R134" t="s">
        <v>917</v>
      </c>
      <c r="T134" s="57">
        <v>3110</v>
      </c>
      <c r="U134" s="57">
        <v>285971.84999999998</v>
      </c>
      <c r="V134" s="57">
        <v>24021.439999999999</v>
      </c>
      <c r="X134" s="55"/>
      <c r="Y134" s="55"/>
      <c r="Z134" s="55"/>
    </row>
    <row r="135" spans="1:26" ht="15.75" customHeight="1" x14ac:dyDescent="0.3">
      <c r="A135" s="57" t="s">
        <v>194</v>
      </c>
      <c r="B135" s="57" t="s">
        <v>195</v>
      </c>
      <c r="C135" s="58" t="s">
        <v>937</v>
      </c>
      <c r="D135" s="58" t="s">
        <v>297</v>
      </c>
      <c r="E135" s="59" t="s">
        <v>1226</v>
      </c>
      <c r="F135" s="55" t="s">
        <v>194</v>
      </c>
      <c r="G135" s="55" t="s">
        <v>195</v>
      </c>
      <c r="H135" t="s">
        <v>300</v>
      </c>
      <c r="I135" t="s">
        <v>317</v>
      </c>
      <c r="J135" t="s">
        <v>297</v>
      </c>
      <c r="K135" s="60">
        <v>11510000041</v>
      </c>
      <c r="L135" s="60" t="s">
        <v>337</v>
      </c>
      <c r="M135" s="57">
        <v>7860.83</v>
      </c>
      <c r="N135" s="57">
        <v>7860.83</v>
      </c>
      <c r="O135" s="57">
        <v>7860.83</v>
      </c>
      <c r="Q135">
        <v>100</v>
      </c>
      <c r="R135" t="s">
        <v>917</v>
      </c>
      <c r="T135" s="57">
        <v>7860.83</v>
      </c>
      <c r="U135" s="57">
        <v>7860.83</v>
      </c>
      <c r="V135" s="57">
        <v>7860.83</v>
      </c>
      <c r="X135" s="55"/>
      <c r="Y135" s="55"/>
      <c r="Z135" s="55"/>
    </row>
    <row r="136" spans="1:26" ht="15.75" customHeight="1" x14ac:dyDescent="0.3">
      <c r="A136" s="57" t="s">
        <v>194</v>
      </c>
      <c r="B136" s="57" t="s">
        <v>195</v>
      </c>
      <c r="C136" s="58" t="s">
        <v>937</v>
      </c>
      <c r="D136" s="58" t="s">
        <v>297</v>
      </c>
      <c r="E136" s="59" t="s">
        <v>1226</v>
      </c>
      <c r="F136" s="55" t="s">
        <v>194</v>
      </c>
      <c r="G136" s="55" t="s">
        <v>195</v>
      </c>
      <c r="H136" t="s">
        <v>300</v>
      </c>
      <c r="I136" t="s">
        <v>317</v>
      </c>
      <c r="J136" t="s">
        <v>297</v>
      </c>
      <c r="K136" s="60">
        <v>11510000044</v>
      </c>
      <c r="L136" s="60" t="s">
        <v>338</v>
      </c>
      <c r="M136" s="57">
        <v>38200.75</v>
      </c>
      <c r="N136" s="57">
        <v>67125.75</v>
      </c>
      <c r="O136" s="57">
        <v>0</v>
      </c>
      <c r="Q136">
        <v>100</v>
      </c>
      <c r="R136" t="s">
        <v>917</v>
      </c>
      <c r="T136" s="57">
        <v>38200.75</v>
      </c>
      <c r="U136" s="57">
        <v>67125.75</v>
      </c>
      <c r="V136" s="57">
        <v>0</v>
      </c>
      <c r="X136" s="55"/>
      <c r="Y136" s="55"/>
      <c r="Z136" s="55"/>
    </row>
    <row r="137" spans="1:26" ht="15.75" customHeight="1" x14ac:dyDescent="0.3">
      <c r="A137" s="57" t="s">
        <v>194</v>
      </c>
      <c r="B137" s="57" t="s">
        <v>195</v>
      </c>
      <c r="C137" s="58" t="s">
        <v>937</v>
      </c>
      <c r="D137" s="58" t="s">
        <v>297</v>
      </c>
      <c r="E137" s="59" t="s">
        <v>1226</v>
      </c>
      <c r="F137" s="55" t="s">
        <v>194</v>
      </c>
      <c r="G137" s="55" t="s">
        <v>195</v>
      </c>
      <c r="H137" t="s">
        <v>300</v>
      </c>
      <c r="I137" t="s">
        <v>317</v>
      </c>
      <c r="J137" t="s">
        <v>297</v>
      </c>
      <c r="K137" s="60">
        <v>11510000045</v>
      </c>
      <c r="L137" s="60" t="s">
        <v>339</v>
      </c>
      <c r="M137" s="57">
        <v>5373.58</v>
      </c>
      <c r="N137" s="57">
        <v>5373.58</v>
      </c>
      <c r="O137" s="57">
        <v>5373.58</v>
      </c>
      <c r="Q137">
        <v>100</v>
      </c>
      <c r="R137" t="s">
        <v>917</v>
      </c>
      <c r="T137" s="57">
        <v>5373.58</v>
      </c>
      <c r="U137" s="57">
        <v>5373.58</v>
      </c>
      <c r="V137" s="57">
        <v>5373.58</v>
      </c>
      <c r="X137" s="55"/>
      <c r="Y137" s="55"/>
      <c r="Z137" s="55"/>
    </row>
    <row r="138" spans="1:26" ht="15.75" customHeight="1" x14ac:dyDescent="0.3">
      <c r="A138" s="57" t="s">
        <v>194</v>
      </c>
      <c r="B138" s="57" t="s">
        <v>195</v>
      </c>
      <c r="C138" s="58" t="s">
        <v>937</v>
      </c>
      <c r="D138" s="58" t="s">
        <v>297</v>
      </c>
      <c r="E138" s="59" t="s">
        <v>1226</v>
      </c>
      <c r="F138" s="55" t="s">
        <v>194</v>
      </c>
      <c r="G138" s="55" t="s">
        <v>195</v>
      </c>
      <c r="H138" t="s">
        <v>300</v>
      </c>
      <c r="I138" t="s">
        <v>317</v>
      </c>
      <c r="J138" t="s">
        <v>297</v>
      </c>
      <c r="K138" s="60">
        <v>11510000053</v>
      </c>
      <c r="L138" s="60" t="s">
        <v>340</v>
      </c>
      <c r="M138" s="57">
        <v>0</v>
      </c>
      <c r="N138" s="57">
        <v>0</v>
      </c>
      <c r="O138" s="57">
        <v>1000</v>
      </c>
      <c r="Q138">
        <v>100</v>
      </c>
      <c r="R138" t="s">
        <v>917</v>
      </c>
      <c r="T138" s="57">
        <v>0</v>
      </c>
      <c r="U138" s="57">
        <v>0</v>
      </c>
      <c r="V138" s="57">
        <v>1000</v>
      </c>
      <c r="X138" s="55"/>
      <c r="Y138" s="55"/>
      <c r="Z138" s="55"/>
    </row>
    <row r="139" spans="1:26" ht="15.75" customHeight="1" x14ac:dyDescent="0.3">
      <c r="A139" s="57" t="s">
        <v>194</v>
      </c>
      <c r="B139" s="57" t="s">
        <v>195</v>
      </c>
      <c r="C139" s="58" t="s">
        <v>937</v>
      </c>
      <c r="D139" s="58" t="s">
        <v>297</v>
      </c>
      <c r="E139" s="59" t="s">
        <v>1226</v>
      </c>
      <c r="F139" s="55" t="s">
        <v>194</v>
      </c>
      <c r="G139" s="55" t="s">
        <v>195</v>
      </c>
      <c r="H139" t="s">
        <v>300</v>
      </c>
      <c r="I139" t="s">
        <v>317</v>
      </c>
      <c r="J139" t="s">
        <v>297</v>
      </c>
      <c r="K139" s="60">
        <v>22222000062</v>
      </c>
      <c r="L139" s="60" t="s">
        <v>341</v>
      </c>
      <c r="M139" s="57">
        <v>15024.13</v>
      </c>
      <c r="N139" s="57">
        <v>17760.64</v>
      </c>
      <c r="O139" s="57">
        <v>19034.36</v>
      </c>
      <c r="Q139">
        <v>100</v>
      </c>
      <c r="R139" t="s">
        <v>917</v>
      </c>
      <c r="T139" s="57">
        <v>15024.13</v>
      </c>
      <c r="U139" s="57">
        <v>17760.64</v>
      </c>
      <c r="V139" s="57">
        <v>19034.36</v>
      </c>
      <c r="X139" s="55"/>
      <c r="Y139" s="55"/>
      <c r="Z139" s="55"/>
    </row>
    <row r="140" spans="1:26" ht="15.75" customHeight="1" x14ac:dyDescent="0.3">
      <c r="A140" s="57" t="s">
        <v>194</v>
      </c>
      <c r="B140" s="57" t="s">
        <v>195</v>
      </c>
      <c r="C140" s="58" t="s">
        <v>937</v>
      </c>
      <c r="D140" s="58" t="s">
        <v>297</v>
      </c>
      <c r="E140" s="59" t="s">
        <v>1226</v>
      </c>
      <c r="F140" s="55" t="s">
        <v>194</v>
      </c>
      <c r="G140" s="55" t="s">
        <v>195</v>
      </c>
      <c r="H140" t="s">
        <v>300</v>
      </c>
      <c r="I140" t="s">
        <v>317</v>
      </c>
      <c r="J140" t="s">
        <v>297</v>
      </c>
      <c r="K140" s="60">
        <v>22222000002</v>
      </c>
      <c r="L140" s="60" t="s">
        <v>342</v>
      </c>
      <c r="M140" s="57">
        <v>0</v>
      </c>
      <c r="N140" s="57">
        <v>4256.4799999999996</v>
      </c>
      <c r="O140" s="57">
        <v>0</v>
      </c>
      <c r="Q140">
        <v>100</v>
      </c>
      <c r="R140" t="s">
        <v>917</v>
      </c>
      <c r="T140" s="57">
        <v>0</v>
      </c>
      <c r="U140" s="57">
        <v>4256.4799999999996</v>
      </c>
      <c r="V140" s="57">
        <v>0</v>
      </c>
      <c r="X140" s="55"/>
      <c r="Y140" s="55"/>
      <c r="Z140" s="55"/>
    </row>
    <row r="141" spans="1:26" ht="15.75" customHeight="1" x14ac:dyDescent="0.3">
      <c r="A141" s="57" t="s">
        <v>194</v>
      </c>
      <c r="B141" s="57" t="s">
        <v>195</v>
      </c>
      <c r="C141" s="58" t="s">
        <v>937</v>
      </c>
      <c r="D141" s="58" t="s">
        <v>297</v>
      </c>
      <c r="E141" s="59" t="s">
        <v>1226</v>
      </c>
      <c r="F141" s="55" t="s">
        <v>194</v>
      </c>
      <c r="G141" s="55" t="s">
        <v>195</v>
      </c>
      <c r="H141" t="s">
        <v>300</v>
      </c>
      <c r="I141" t="s">
        <v>317</v>
      </c>
      <c r="J141" t="s">
        <v>297</v>
      </c>
      <c r="K141" s="60">
        <v>22223000021</v>
      </c>
      <c r="L141" s="60" t="s">
        <v>343</v>
      </c>
      <c r="M141" s="57">
        <v>7828.5</v>
      </c>
      <c r="N141" s="57">
        <v>3412.13</v>
      </c>
      <c r="O141" s="57">
        <v>0</v>
      </c>
      <c r="Q141">
        <v>100</v>
      </c>
      <c r="R141" t="s">
        <v>917</v>
      </c>
      <c r="T141" s="57">
        <v>7828.5</v>
      </c>
      <c r="U141" s="57">
        <v>3412.13</v>
      </c>
      <c r="V141" s="57">
        <v>0</v>
      </c>
      <c r="X141" s="55"/>
      <c r="Y141" s="55"/>
      <c r="Z141" s="55"/>
    </row>
    <row r="142" spans="1:26" ht="15.75" customHeight="1" x14ac:dyDescent="0.3">
      <c r="A142" s="57" t="s">
        <v>194</v>
      </c>
      <c r="B142" s="57" t="s">
        <v>195</v>
      </c>
      <c r="C142" s="58" t="s">
        <v>937</v>
      </c>
      <c r="D142" s="58" t="s">
        <v>297</v>
      </c>
      <c r="E142" s="59" t="s">
        <v>1226</v>
      </c>
      <c r="F142" s="55" t="s">
        <v>194</v>
      </c>
      <c r="G142" s="55" t="s">
        <v>195</v>
      </c>
      <c r="H142" t="s">
        <v>300</v>
      </c>
      <c r="I142" t="s">
        <v>317</v>
      </c>
      <c r="J142" t="s">
        <v>297</v>
      </c>
      <c r="K142" s="60">
        <v>22223000038</v>
      </c>
      <c r="L142" s="60" t="s">
        <v>344</v>
      </c>
      <c r="M142" s="57">
        <v>0</v>
      </c>
      <c r="N142" s="57">
        <v>195.2</v>
      </c>
      <c r="O142" s="57">
        <v>-1237.08</v>
      </c>
      <c r="Q142">
        <v>100</v>
      </c>
      <c r="R142" t="s">
        <v>917</v>
      </c>
      <c r="T142" s="57">
        <v>0</v>
      </c>
      <c r="U142" s="57">
        <v>195.2</v>
      </c>
      <c r="V142" s="57">
        <v>-1237.08</v>
      </c>
      <c r="X142" s="55"/>
      <c r="Y142" s="55"/>
      <c r="Z142" s="55"/>
    </row>
    <row r="143" spans="1:26" ht="15.75" customHeight="1" x14ac:dyDescent="0.3">
      <c r="A143" s="57" t="s">
        <v>194</v>
      </c>
      <c r="B143" s="57" t="s">
        <v>195</v>
      </c>
      <c r="C143" s="58" t="s">
        <v>937</v>
      </c>
      <c r="D143" s="58" t="s">
        <v>297</v>
      </c>
      <c r="E143" s="59" t="s">
        <v>1226</v>
      </c>
      <c r="F143" s="55" t="s">
        <v>194</v>
      </c>
      <c r="G143" s="55" t="s">
        <v>195</v>
      </c>
      <c r="H143" t="s">
        <v>300</v>
      </c>
      <c r="I143" t="s">
        <v>317</v>
      </c>
      <c r="J143" t="s">
        <v>297</v>
      </c>
      <c r="K143" s="60">
        <v>22223000041</v>
      </c>
      <c r="L143" s="60" t="s">
        <v>345</v>
      </c>
      <c r="M143" s="57">
        <v>-8749.57</v>
      </c>
      <c r="N143" s="57">
        <v>0</v>
      </c>
      <c r="O143" s="57">
        <v>3106.76</v>
      </c>
      <c r="Q143">
        <v>100</v>
      </c>
      <c r="R143" t="s">
        <v>917</v>
      </c>
      <c r="T143" s="57">
        <v>-8749.57</v>
      </c>
      <c r="U143" s="57">
        <v>0</v>
      </c>
      <c r="V143" s="57">
        <v>3106.76</v>
      </c>
      <c r="X143" s="55"/>
      <c r="Y143" s="55"/>
      <c r="Z143" s="55"/>
    </row>
    <row r="144" spans="1:26" ht="15.75" customHeight="1" x14ac:dyDescent="0.3">
      <c r="A144" s="57" t="s">
        <v>194</v>
      </c>
      <c r="B144" s="57" t="s">
        <v>195</v>
      </c>
      <c r="C144" s="58" t="s">
        <v>937</v>
      </c>
      <c r="D144" s="58" t="s">
        <v>297</v>
      </c>
      <c r="E144" s="59" t="s">
        <v>1226</v>
      </c>
      <c r="F144" s="55" t="s">
        <v>194</v>
      </c>
      <c r="G144" s="55" t="s">
        <v>195</v>
      </c>
      <c r="H144" t="s">
        <v>300</v>
      </c>
      <c r="I144" t="s">
        <v>317</v>
      </c>
      <c r="J144" t="s">
        <v>297</v>
      </c>
      <c r="K144" s="60">
        <v>22223000042</v>
      </c>
      <c r="L144" s="60" t="s">
        <v>346</v>
      </c>
      <c r="M144" s="57">
        <v>0</v>
      </c>
      <c r="N144" s="57">
        <v>635.66</v>
      </c>
      <c r="O144" s="57">
        <v>0</v>
      </c>
      <c r="Q144">
        <v>100</v>
      </c>
      <c r="R144" t="s">
        <v>917</v>
      </c>
      <c r="T144" s="57">
        <v>0</v>
      </c>
      <c r="U144" s="57">
        <v>635.66</v>
      </c>
      <c r="V144" s="57">
        <v>0</v>
      </c>
      <c r="X144" s="55"/>
      <c r="Y144" s="55"/>
      <c r="Z144" s="55"/>
    </row>
    <row r="145" spans="1:26" ht="15.75" customHeight="1" x14ac:dyDescent="0.3">
      <c r="A145" s="57"/>
      <c r="B145" s="57"/>
      <c r="C145" s="58"/>
      <c r="D145" s="58"/>
      <c r="E145" s="59"/>
      <c r="F145" s="55" t="s">
        <v>194</v>
      </c>
      <c r="G145" s="55" t="s">
        <v>309</v>
      </c>
      <c r="H145" t="s">
        <v>357</v>
      </c>
      <c r="I145" t="s">
        <v>504</v>
      </c>
      <c r="J145" t="s">
        <v>347</v>
      </c>
      <c r="K145" s="63" t="s">
        <v>348</v>
      </c>
      <c r="L145" s="63" t="s">
        <v>349</v>
      </c>
      <c r="M145" s="57">
        <v>-41086.29</v>
      </c>
      <c r="N145" s="57">
        <v>-34568.370000000003</v>
      </c>
      <c r="O145" s="57">
        <v>-20619.3</v>
      </c>
      <c r="Q145">
        <v>200</v>
      </c>
      <c r="R145" t="s">
        <v>1353</v>
      </c>
      <c r="T145" s="57">
        <v>0</v>
      </c>
      <c r="U145" s="57">
        <v>0</v>
      </c>
      <c r="V145" s="57">
        <v>0</v>
      </c>
      <c r="Y145" s="55"/>
      <c r="Z145" s="55"/>
    </row>
    <row r="146" spans="1:26" ht="15.75" customHeight="1" x14ac:dyDescent="0.3">
      <c r="A146" s="57"/>
      <c r="B146" s="57"/>
      <c r="C146" s="58"/>
      <c r="D146" s="58"/>
      <c r="E146" s="59"/>
      <c r="F146" s="55" t="s">
        <v>194</v>
      </c>
      <c r="G146" s="55" t="s">
        <v>195</v>
      </c>
      <c r="H146" t="s">
        <v>300</v>
      </c>
      <c r="I146" t="s">
        <v>317</v>
      </c>
      <c r="J146" t="s">
        <v>347</v>
      </c>
      <c r="K146" s="63" t="s">
        <v>350</v>
      </c>
      <c r="L146" s="63" t="s">
        <v>351</v>
      </c>
      <c r="M146" s="57">
        <v>0</v>
      </c>
      <c r="N146" s="57">
        <v>229.27000000000044</v>
      </c>
      <c r="O146" s="57">
        <v>0.97000000000042519</v>
      </c>
      <c r="Q146">
        <v>100</v>
      </c>
      <c r="R146" t="s">
        <v>920</v>
      </c>
      <c r="T146" s="57">
        <v>0</v>
      </c>
      <c r="U146" s="57">
        <v>0</v>
      </c>
      <c r="V146" s="57">
        <v>0</v>
      </c>
      <c r="X146" s="55"/>
      <c r="Y146" s="55"/>
      <c r="Z146" s="55"/>
    </row>
    <row r="147" spans="1:26" ht="15.75" customHeight="1" x14ac:dyDescent="0.3">
      <c r="A147" s="57"/>
      <c r="B147" s="57"/>
      <c r="C147" s="58"/>
      <c r="D147" s="58"/>
      <c r="E147" s="59"/>
      <c r="F147" s="55" t="s">
        <v>194</v>
      </c>
      <c r="G147" s="55" t="s">
        <v>195</v>
      </c>
      <c r="H147" t="s">
        <v>300</v>
      </c>
      <c r="I147" t="s">
        <v>317</v>
      </c>
      <c r="J147" t="s">
        <v>347</v>
      </c>
      <c r="K147" s="63" t="s">
        <v>352</v>
      </c>
      <c r="L147" s="60" t="s">
        <v>353</v>
      </c>
      <c r="M147" s="57">
        <v>0</v>
      </c>
      <c r="N147" s="57">
        <v>3900</v>
      </c>
      <c r="O147" s="57">
        <v>222.80000000000018</v>
      </c>
      <c r="Q147">
        <v>100</v>
      </c>
      <c r="R147" t="s">
        <v>920</v>
      </c>
      <c r="T147" s="57">
        <v>0</v>
      </c>
      <c r="U147" s="57">
        <v>0</v>
      </c>
      <c r="V147" s="57">
        <v>0</v>
      </c>
      <c r="X147" s="55"/>
      <c r="Y147" s="55"/>
      <c r="Z147" s="55"/>
    </row>
    <row r="148" spans="1:26" ht="15.75" customHeight="1" x14ac:dyDescent="0.3">
      <c r="A148" s="57"/>
      <c r="B148" s="57"/>
      <c r="C148" s="58"/>
      <c r="D148" s="58"/>
      <c r="E148" s="59"/>
      <c r="F148" s="55" t="s">
        <v>194</v>
      </c>
      <c r="G148" s="55" t="s">
        <v>195</v>
      </c>
      <c r="H148" t="s">
        <v>300</v>
      </c>
      <c r="I148" t="s">
        <v>317</v>
      </c>
      <c r="J148" t="s">
        <v>347</v>
      </c>
      <c r="K148" s="63" t="s">
        <v>354</v>
      </c>
      <c r="L148" s="60" t="s">
        <v>355</v>
      </c>
      <c r="M148" s="57">
        <v>0</v>
      </c>
      <c r="N148" s="57">
        <v>0</v>
      </c>
      <c r="O148" s="57">
        <v>6960.5299999999988</v>
      </c>
      <c r="Q148">
        <v>100</v>
      </c>
      <c r="R148" t="s">
        <v>920</v>
      </c>
      <c r="T148" s="57">
        <v>0</v>
      </c>
      <c r="U148" s="57">
        <v>0</v>
      </c>
      <c r="V148" s="57">
        <v>0</v>
      </c>
      <c r="X148" s="55"/>
      <c r="Y148" s="55"/>
      <c r="Z148" s="55"/>
    </row>
    <row r="149" spans="1:26" ht="15.75" customHeight="1" x14ac:dyDescent="0.3">
      <c r="A149" s="57" t="s">
        <v>194</v>
      </c>
      <c r="B149" s="57" t="s">
        <v>195</v>
      </c>
      <c r="C149" s="58" t="s">
        <v>937</v>
      </c>
      <c r="D149" s="58" t="s">
        <v>297</v>
      </c>
      <c r="E149" s="59" t="s">
        <v>1226</v>
      </c>
      <c r="F149" s="55" t="s">
        <v>194</v>
      </c>
      <c r="G149" s="55" t="s">
        <v>195</v>
      </c>
      <c r="H149" t="s">
        <v>357</v>
      </c>
      <c r="I149" t="s">
        <v>358</v>
      </c>
      <c r="J149" t="s">
        <v>141</v>
      </c>
      <c r="K149" s="70">
        <v>11803000002</v>
      </c>
      <c r="L149" s="71" t="s">
        <v>359</v>
      </c>
      <c r="M149" s="57">
        <v>81374.14</v>
      </c>
      <c r="N149" s="57">
        <v>56998.99</v>
      </c>
      <c r="O149" s="57">
        <v>87598.91</v>
      </c>
      <c r="Q149">
        <v>190</v>
      </c>
      <c r="R149" t="s">
        <v>903</v>
      </c>
      <c r="T149" s="57">
        <v>81374.14</v>
      </c>
      <c r="U149" s="57">
        <v>56998.99</v>
      </c>
      <c r="V149" s="57">
        <v>87598.91</v>
      </c>
      <c r="X149" s="55"/>
    </row>
    <row r="150" spans="1:26" ht="15.75" customHeight="1" x14ac:dyDescent="0.3">
      <c r="A150" s="57" t="s">
        <v>194</v>
      </c>
      <c r="B150" s="57" t="s">
        <v>195</v>
      </c>
      <c r="C150" s="58" t="s">
        <v>937</v>
      </c>
      <c r="D150" s="58" t="s">
        <v>297</v>
      </c>
      <c r="E150" s="59" t="s">
        <v>1226</v>
      </c>
      <c r="F150" s="55" t="s">
        <v>194</v>
      </c>
      <c r="G150" s="55" t="s">
        <v>195</v>
      </c>
      <c r="H150" t="s">
        <v>300</v>
      </c>
      <c r="I150" t="s">
        <v>317</v>
      </c>
      <c r="J150" t="s">
        <v>297</v>
      </c>
      <c r="K150" s="60">
        <v>11510000038</v>
      </c>
      <c r="L150" s="60" t="s">
        <v>360</v>
      </c>
      <c r="M150" s="57">
        <v>580121.91</v>
      </c>
      <c r="N150" s="57">
        <v>641854.42000000004</v>
      </c>
      <c r="O150" s="57">
        <v>674522.04</v>
      </c>
      <c r="Q150">
        <v>100</v>
      </c>
      <c r="R150" t="s">
        <v>917</v>
      </c>
      <c r="T150" s="57">
        <v>580121.91</v>
      </c>
      <c r="U150" s="57">
        <v>641854.42000000004</v>
      </c>
      <c r="V150" s="57">
        <v>674522.04</v>
      </c>
      <c r="X150" s="55"/>
      <c r="Y150" s="55"/>
      <c r="Z150" s="55"/>
    </row>
    <row r="151" spans="1:26" ht="15.75" customHeight="1" x14ac:dyDescent="0.3">
      <c r="A151" s="57" t="s">
        <v>194</v>
      </c>
      <c r="B151" s="57" t="s">
        <v>195</v>
      </c>
      <c r="C151" s="58" t="s">
        <v>1230</v>
      </c>
      <c r="D151" s="58" t="s">
        <v>1231</v>
      </c>
      <c r="E151" s="59" t="s">
        <v>1232</v>
      </c>
      <c r="F151" s="55" t="s">
        <v>194</v>
      </c>
      <c r="G151" s="55" t="s">
        <v>195</v>
      </c>
      <c r="H151" t="s">
        <v>300</v>
      </c>
      <c r="I151" t="s">
        <v>361</v>
      </c>
      <c r="J151" t="s">
        <v>362</v>
      </c>
      <c r="K151" s="60">
        <v>11301000001</v>
      </c>
      <c r="L151" s="60" t="s">
        <v>363</v>
      </c>
      <c r="M151" s="57">
        <v>5454</v>
      </c>
      <c r="N151" s="57">
        <v>5704</v>
      </c>
      <c r="O151" s="57">
        <v>6004</v>
      </c>
      <c r="Q151">
        <v>40</v>
      </c>
      <c r="R151" t="s">
        <v>878</v>
      </c>
      <c r="T151" s="57">
        <v>5454</v>
      </c>
      <c r="U151" s="57">
        <v>5704</v>
      </c>
      <c r="V151" s="57">
        <v>6004</v>
      </c>
    </row>
    <row r="152" spans="1:26" ht="15.75" customHeight="1" x14ac:dyDescent="0.3">
      <c r="A152" s="57" t="s">
        <v>194</v>
      </c>
      <c r="B152" s="57" t="s">
        <v>195</v>
      </c>
      <c r="C152" s="58" t="s">
        <v>1230</v>
      </c>
      <c r="D152" s="58" t="s">
        <v>1231</v>
      </c>
      <c r="E152" s="59" t="s">
        <v>1232</v>
      </c>
      <c r="F152" s="55" t="s">
        <v>194</v>
      </c>
      <c r="G152" s="55" t="s">
        <v>195</v>
      </c>
      <c r="H152" t="s">
        <v>300</v>
      </c>
      <c r="I152" t="s">
        <v>317</v>
      </c>
      <c r="J152" t="s">
        <v>362</v>
      </c>
      <c r="K152" s="60">
        <v>11301000002</v>
      </c>
      <c r="L152" s="60" t="s">
        <v>364</v>
      </c>
      <c r="M152" s="57">
        <v>190149.81</v>
      </c>
      <c r="N152" s="57">
        <v>192605.16</v>
      </c>
      <c r="O152" s="57">
        <v>190894.67</v>
      </c>
      <c r="Q152">
        <v>100</v>
      </c>
      <c r="R152" t="s">
        <v>918</v>
      </c>
      <c r="T152" s="57">
        <v>154937.10999999999</v>
      </c>
      <c r="U152" s="57">
        <v>154937.10999999999</v>
      </c>
      <c r="V152" s="57">
        <v>154937.10999999999</v>
      </c>
      <c r="W152" s="55"/>
      <c r="X152" s="55"/>
      <c r="Y152" s="55"/>
      <c r="Z152" s="55"/>
    </row>
    <row r="153" spans="1:26" ht="15.75" customHeight="1" x14ac:dyDescent="0.3">
      <c r="A153" s="57" t="s">
        <v>194</v>
      </c>
      <c r="B153" s="57" t="s">
        <v>195</v>
      </c>
      <c r="C153" s="58" t="s">
        <v>1230</v>
      </c>
      <c r="D153" s="58" t="s">
        <v>1231</v>
      </c>
      <c r="E153" s="59" t="s">
        <v>1232</v>
      </c>
      <c r="F153" s="55" t="s">
        <v>194</v>
      </c>
      <c r="G153" s="55" t="s">
        <v>195</v>
      </c>
      <c r="H153" t="s">
        <v>300</v>
      </c>
      <c r="I153" t="s">
        <v>317</v>
      </c>
      <c r="J153" t="s">
        <v>362</v>
      </c>
      <c r="K153" s="60">
        <v>11301000003</v>
      </c>
      <c r="L153" s="60" t="s">
        <v>365</v>
      </c>
      <c r="M153" s="57">
        <v>154.93</v>
      </c>
      <c r="N153" s="57">
        <v>154.93</v>
      </c>
      <c r="O153" s="57">
        <v>154.93</v>
      </c>
      <c r="Q153">
        <v>100</v>
      </c>
      <c r="R153" t="s">
        <v>918</v>
      </c>
      <c r="T153" s="57">
        <v>154.93</v>
      </c>
      <c r="U153" s="57">
        <v>154.93</v>
      </c>
      <c r="V153" s="57">
        <v>154.93</v>
      </c>
      <c r="W153" s="55"/>
      <c r="X153" s="55"/>
      <c r="Y153" s="55"/>
      <c r="Z153" s="55"/>
    </row>
    <row r="154" spans="1:26" ht="15.75" customHeight="1" x14ac:dyDescent="0.3">
      <c r="A154" s="57" t="s">
        <v>194</v>
      </c>
      <c r="B154" s="57" t="s">
        <v>195</v>
      </c>
      <c r="C154" s="58" t="s">
        <v>1230</v>
      </c>
      <c r="D154" s="58" t="s">
        <v>922</v>
      </c>
      <c r="E154" s="59" t="s">
        <v>1233</v>
      </c>
      <c r="F154" s="55" t="s">
        <v>194</v>
      </c>
      <c r="G154" s="55" t="s">
        <v>195</v>
      </c>
      <c r="H154" t="s">
        <v>300</v>
      </c>
      <c r="I154" t="s">
        <v>317</v>
      </c>
      <c r="J154" t="s">
        <v>362</v>
      </c>
      <c r="K154" s="60">
        <v>11301000004</v>
      </c>
      <c r="L154" s="60" t="s">
        <v>366</v>
      </c>
      <c r="M154" s="57">
        <v>36181.380000000005</v>
      </c>
      <c r="N154" s="57">
        <v>37316.489999999991</v>
      </c>
      <c r="O154" s="57">
        <v>38401.869999999995</v>
      </c>
      <c r="Q154">
        <v>100</v>
      </c>
      <c r="R154" t="s">
        <v>918</v>
      </c>
      <c r="T154" s="57">
        <v>99669.36</v>
      </c>
      <c r="U154" s="57">
        <v>99669.36</v>
      </c>
      <c r="V154" s="57">
        <v>103071.23</v>
      </c>
      <c r="W154" s="55"/>
      <c r="X154" s="55"/>
      <c r="Y154" s="55"/>
      <c r="Z154" s="55"/>
    </row>
    <row r="155" spans="1:26" ht="15.75" customHeight="1" x14ac:dyDescent="0.3">
      <c r="A155" s="57" t="s">
        <v>194</v>
      </c>
      <c r="B155" s="57" t="s">
        <v>195</v>
      </c>
      <c r="C155" s="58" t="s">
        <v>1230</v>
      </c>
      <c r="D155" s="58" t="s">
        <v>922</v>
      </c>
      <c r="E155" s="59" t="s">
        <v>1233</v>
      </c>
      <c r="F155" s="55" t="s">
        <v>194</v>
      </c>
      <c r="G155" s="55" t="s">
        <v>195</v>
      </c>
      <c r="H155" t="s">
        <v>300</v>
      </c>
      <c r="I155" t="s">
        <v>317</v>
      </c>
      <c r="J155" t="s">
        <v>362</v>
      </c>
      <c r="K155" s="60">
        <v>11301000005</v>
      </c>
      <c r="L155" s="60" t="s">
        <v>367</v>
      </c>
      <c r="M155" s="57">
        <v>362488.55</v>
      </c>
      <c r="N155" s="57">
        <v>370876.94</v>
      </c>
      <c r="O155" s="57">
        <v>378467</v>
      </c>
      <c r="Q155">
        <v>100</v>
      </c>
      <c r="R155" t="s">
        <v>918</v>
      </c>
      <c r="T155" s="57">
        <v>300000</v>
      </c>
      <c r="U155" s="57">
        <v>300000</v>
      </c>
      <c r="V155" s="57">
        <v>378517</v>
      </c>
      <c r="W155" s="55"/>
      <c r="X155" s="55"/>
      <c r="Y155" s="55"/>
      <c r="Z155" s="55"/>
    </row>
    <row r="156" spans="1:26" ht="15.75" customHeight="1" x14ac:dyDescent="0.3">
      <c r="A156" s="57" t="s">
        <v>194</v>
      </c>
      <c r="B156" s="57" t="s">
        <v>195</v>
      </c>
      <c r="C156" s="58" t="s">
        <v>1230</v>
      </c>
      <c r="D156" s="58" t="s">
        <v>922</v>
      </c>
      <c r="E156" s="59" t="s">
        <v>1233</v>
      </c>
      <c r="F156" s="55" t="s">
        <v>194</v>
      </c>
      <c r="G156" s="55" t="s">
        <v>195</v>
      </c>
      <c r="H156" t="s">
        <v>300</v>
      </c>
      <c r="I156" t="s">
        <v>317</v>
      </c>
      <c r="J156" t="s">
        <v>362</v>
      </c>
      <c r="K156" s="60">
        <v>11301000006</v>
      </c>
      <c r="L156" s="60" t="s">
        <v>368</v>
      </c>
      <c r="M156" s="57">
        <v>53894.7</v>
      </c>
      <c r="N156" s="57">
        <v>55352.56</v>
      </c>
      <c r="O156" s="57">
        <v>53240.369999999995</v>
      </c>
      <c r="Q156">
        <v>100</v>
      </c>
      <c r="R156" t="s">
        <v>918</v>
      </c>
      <c r="T156" s="57">
        <v>50000</v>
      </c>
      <c r="U156" s="57">
        <v>50000</v>
      </c>
      <c r="V156" s="57">
        <v>53565.42</v>
      </c>
      <c r="W156" s="55"/>
      <c r="X156" s="55"/>
      <c r="Y156" s="55"/>
      <c r="Z156" s="55"/>
    </row>
    <row r="157" spans="1:26" ht="15.75" customHeight="1" x14ac:dyDescent="0.3">
      <c r="A157" s="57" t="s">
        <v>194</v>
      </c>
      <c r="B157" s="57" t="s">
        <v>195</v>
      </c>
      <c r="C157" s="58" t="s">
        <v>1230</v>
      </c>
      <c r="D157" s="58" t="s">
        <v>922</v>
      </c>
      <c r="E157" s="59" t="s">
        <v>1233</v>
      </c>
      <c r="F157" s="55" t="s">
        <v>194</v>
      </c>
      <c r="G157" s="55" t="s">
        <v>195</v>
      </c>
      <c r="H157" t="s">
        <v>300</v>
      </c>
      <c r="I157" t="s">
        <v>317</v>
      </c>
      <c r="J157" t="s">
        <v>362</v>
      </c>
      <c r="K157" s="60">
        <v>11301000007</v>
      </c>
      <c r="L157" s="60" t="s">
        <v>369</v>
      </c>
      <c r="M157" s="57">
        <v>199360</v>
      </c>
      <c r="N157" s="57">
        <v>207630</v>
      </c>
      <c r="O157" s="57">
        <v>203800</v>
      </c>
      <c r="Q157">
        <v>100</v>
      </c>
      <c r="R157" t="s">
        <v>918</v>
      </c>
      <c r="T157" s="57">
        <v>200000</v>
      </c>
      <c r="U157" s="57">
        <v>206250</v>
      </c>
      <c r="V157" s="57">
        <v>206250</v>
      </c>
      <c r="W157" s="55"/>
      <c r="X157" s="55"/>
      <c r="Y157" s="55"/>
      <c r="Z157" s="55"/>
    </row>
    <row r="158" spans="1:26" ht="15.75" customHeight="1" x14ac:dyDescent="0.3">
      <c r="A158" s="57" t="s">
        <v>194</v>
      </c>
      <c r="B158" s="57" t="s">
        <v>195</v>
      </c>
      <c r="C158" s="58" t="s">
        <v>1230</v>
      </c>
      <c r="D158" s="58" t="s">
        <v>1231</v>
      </c>
      <c r="E158" s="59" t="s">
        <v>1232</v>
      </c>
      <c r="F158" s="55" t="s">
        <v>194</v>
      </c>
      <c r="G158" s="55" t="s">
        <v>195</v>
      </c>
      <c r="H158" t="s">
        <v>300</v>
      </c>
      <c r="I158" t="s">
        <v>317</v>
      </c>
      <c r="J158" t="s">
        <v>362</v>
      </c>
      <c r="K158" s="60">
        <v>11301000008</v>
      </c>
      <c r="L158" s="60" t="s">
        <v>370</v>
      </c>
      <c r="M158" s="57">
        <v>0</v>
      </c>
      <c r="N158" s="57">
        <v>3422.73</v>
      </c>
      <c r="O158" s="57">
        <v>4376.03</v>
      </c>
      <c r="Q158">
        <v>100</v>
      </c>
      <c r="R158" t="s">
        <v>918</v>
      </c>
      <c r="T158" s="57">
        <v>0</v>
      </c>
      <c r="U158" s="57">
        <v>5102.5200000000004</v>
      </c>
      <c r="V158" s="57">
        <v>5102.5200000000004</v>
      </c>
      <c r="W158" s="55"/>
      <c r="X158" s="55"/>
      <c r="Y158" s="55"/>
      <c r="Z158" s="55"/>
    </row>
    <row r="159" spans="1:26" ht="15.75" customHeight="1" x14ac:dyDescent="0.3">
      <c r="A159" s="57"/>
      <c r="B159" s="57"/>
      <c r="C159" s="58"/>
      <c r="D159" s="58"/>
      <c r="E159" s="59"/>
      <c r="F159" s="55" t="s">
        <v>194</v>
      </c>
      <c r="G159" s="55" t="s">
        <v>195</v>
      </c>
      <c r="H159" t="s">
        <v>300</v>
      </c>
      <c r="I159" t="s">
        <v>317</v>
      </c>
      <c r="J159" t="s">
        <v>362</v>
      </c>
      <c r="K159" s="60" t="s">
        <v>371</v>
      </c>
      <c r="L159" s="60" t="s">
        <v>372</v>
      </c>
      <c r="M159" s="57">
        <v>70000</v>
      </c>
      <c r="N159" s="57">
        <v>70000</v>
      </c>
      <c r="O159" s="57">
        <v>70000</v>
      </c>
      <c r="Q159">
        <v>100</v>
      </c>
      <c r="R159" t="s">
        <v>918</v>
      </c>
      <c r="T159" s="57">
        <v>0</v>
      </c>
      <c r="U159" s="57">
        <v>0</v>
      </c>
      <c r="V159" s="57">
        <v>0</v>
      </c>
      <c r="W159" s="55"/>
      <c r="X159" s="55"/>
      <c r="Y159" s="55"/>
      <c r="Z159" s="55"/>
    </row>
    <row r="160" spans="1:26" ht="15.75" customHeight="1" x14ac:dyDescent="0.3">
      <c r="A160" s="57" t="s">
        <v>194</v>
      </c>
      <c r="B160" s="57" t="s">
        <v>195</v>
      </c>
      <c r="C160" s="58" t="s">
        <v>1234</v>
      </c>
      <c r="D160" s="58" t="s">
        <v>5</v>
      </c>
      <c r="E160" s="59" t="s">
        <v>1235</v>
      </c>
      <c r="F160" s="55" t="s">
        <v>194</v>
      </c>
      <c r="G160" s="55" t="s">
        <v>195</v>
      </c>
      <c r="H160" t="s">
        <v>300</v>
      </c>
      <c r="I160" t="s">
        <v>373</v>
      </c>
      <c r="J160" t="s">
        <v>5</v>
      </c>
      <c r="K160" s="58">
        <v>11703</v>
      </c>
      <c r="L160" s="58" t="s">
        <v>374</v>
      </c>
      <c r="M160" s="57">
        <v>40075.68</v>
      </c>
      <c r="N160" s="57">
        <v>23275.88</v>
      </c>
      <c r="O160" s="57">
        <v>35628.61</v>
      </c>
      <c r="Q160">
        <v>110</v>
      </c>
      <c r="R160" t="s">
        <v>886</v>
      </c>
      <c r="T160" s="57">
        <v>40075.68</v>
      </c>
      <c r="U160" s="57">
        <v>23275.88</v>
      </c>
      <c r="V160" s="57">
        <v>35628.61</v>
      </c>
    </row>
    <row r="161" spans="1:22" ht="15.75" customHeight="1" x14ac:dyDescent="0.3">
      <c r="A161" s="57" t="s">
        <v>194</v>
      </c>
      <c r="B161" s="57" t="s">
        <v>195</v>
      </c>
      <c r="C161" s="58" t="s">
        <v>1234</v>
      </c>
      <c r="D161" s="58" t="s">
        <v>375</v>
      </c>
      <c r="E161" s="59" t="s">
        <v>1236</v>
      </c>
      <c r="F161" s="55" t="s">
        <v>194</v>
      </c>
      <c r="G161" s="55" t="s">
        <v>195</v>
      </c>
      <c r="H161" t="s">
        <v>300</v>
      </c>
      <c r="I161" t="s">
        <v>373</v>
      </c>
      <c r="J161" t="s">
        <v>375</v>
      </c>
      <c r="K161" s="58">
        <v>11701000009</v>
      </c>
      <c r="L161" s="58" t="s">
        <v>376</v>
      </c>
      <c r="M161" s="57">
        <v>-31302.53</v>
      </c>
      <c r="N161" s="57">
        <v>248110.7</v>
      </c>
      <c r="O161" s="57">
        <v>148268.79999999999</v>
      </c>
      <c r="Q161">
        <v>110</v>
      </c>
      <c r="R161" t="s">
        <v>885</v>
      </c>
      <c r="T161" s="57">
        <v>-31302.53</v>
      </c>
      <c r="U161" s="57">
        <v>248110.7</v>
      </c>
      <c r="V161" s="57">
        <v>148268.79999999999</v>
      </c>
    </row>
    <row r="162" spans="1:22" ht="15.75" customHeight="1" x14ac:dyDescent="0.3">
      <c r="A162" s="57" t="s">
        <v>194</v>
      </c>
      <c r="B162" s="57" t="s">
        <v>195</v>
      </c>
      <c r="C162" s="58" t="s">
        <v>1234</v>
      </c>
      <c r="D162" s="58" t="s">
        <v>375</v>
      </c>
      <c r="E162" s="59" t="s">
        <v>1236</v>
      </c>
      <c r="F162" s="55" t="s">
        <v>194</v>
      </c>
      <c r="G162" s="55" t="s">
        <v>195</v>
      </c>
      <c r="H162" t="s">
        <v>300</v>
      </c>
      <c r="I162" t="s">
        <v>373</v>
      </c>
      <c r="J162" t="s">
        <v>375</v>
      </c>
      <c r="K162" s="58">
        <v>11701000020</v>
      </c>
      <c r="L162" s="58" t="s">
        <v>377</v>
      </c>
      <c r="M162" s="57">
        <v>626.52</v>
      </c>
      <c r="N162" s="57">
        <v>682.22</v>
      </c>
      <c r="O162" s="57">
        <v>566.26</v>
      </c>
      <c r="Q162">
        <v>110</v>
      </c>
      <c r="R162" t="s">
        <v>885</v>
      </c>
      <c r="T162" s="57">
        <v>626.52</v>
      </c>
      <c r="U162" s="57">
        <v>682.22</v>
      </c>
      <c r="V162" s="57">
        <v>566.26</v>
      </c>
    </row>
    <row r="163" spans="1:22" ht="15.75" customHeight="1" x14ac:dyDescent="0.3">
      <c r="A163" s="57" t="s">
        <v>194</v>
      </c>
      <c r="B163" s="57" t="s">
        <v>195</v>
      </c>
      <c r="C163" s="58" t="s">
        <v>1234</v>
      </c>
      <c r="D163" s="58" t="s">
        <v>375</v>
      </c>
      <c r="E163" s="59" t="s">
        <v>1236</v>
      </c>
      <c r="F163" s="55" t="s">
        <v>194</v>
      </c>
      <c r="G163" s="55" t="s">
        <v>195</v>
      </c>
      <c r="H163" t="s">
        <v>300</v>
      </c>
      <c r="I163" t="s">
        <v>373</v>
      </c>
      <c r="J163" t="s">
        <v>375</v>
      </c>
      <c r="K163" s="58">
        <v>11701000025</v>
      </c>
      <c r="L163" s="58" t="s">
        <v>378</v>
      </c>
      <c r="M163" s="57">
        <v>-32329.34</v>
      </c>
      <c r="N163" s="57">
        <v>26571.360000000001</v>
      </c>
      <c r="O163" s="57">
        <v>30632.34</v>
      </c>
      <c r="Q163">
        <v>110</v>
      </c>
      <c r="R163" t="s">
        <v>885</v>
      </c>
      <c r="T163" s="57">
        <v>-32329.34</v>
      </c>
      <c r="U163" s="57">
        <v>26571.360000000001</v>
      </c>
      <c r="V163" s="57">
        <v>30632.34</v>
      </c>
    </row>
    <row r="164" spans="1:22" ht="15.75" customHeight="1" x14ac:dyDescent="0.3">
      <c r="A164" s="57" t="s">
        <v>194</v>
      </c>
      <c r="B164" s="57" t="s">
        <v>195</v>
      </c>
      <c r="C164" s="58" t="s">
        <v>1234</v>
      </c>
      <c r="D164" s="58" t="s">
        <v>375</v>
      </c>
      <c r="E164" s="59" t="s">
        <v>1236</v>
      </c>
      <c r="F164" s="55" t="s">
        <v>194</v>
      </c>
      <c r="G164" s="55" t="s">
        <v>195</v>
      </c>
      <c r="H164" t="s">
        <v>300</v>
      </c>
      <c r="I164" t="s">
        <v>373</v>
      </c>
      <c r="J164" t="s">
        <v>375</v>
      </c>
      <c r="K164" s="58">
        <v>11701000032</v>
      </c>
      <c r="L164" s="58" t="s">
        <v>379</v>
      </c>
      <c r="M164" s="57">
        <v>260124.45</v>
      </c>
      <c r="N164" s="57">
        <v>328909.19</v>
      </c>
      <c r="O164" s="57">
        <v>5713.03</v>
      </c>
      <c r="Q164">
        <v>110</v>
      </c>
      <c r="R164" t="s">
        <v>885</v>
      </c>
      <c r="T164" s="57">
        <v>260124.45</v>
      </c>
      <c r="U164" s="57">
        <v>328909.19</v>
      </c>
      <c r="V164" s="57">
        <v>5713.03</v>
      </c>
    </row>
    <row r="165" spans="1:22" ht="15.75" customHeight="1" x14ac:dyDescent="0.3">
      <c r="A165" s="57" t="s">
        <v>194</v>
      </c>
      <c r="B165" s="57" t="s">
        <v>195</v>
      </c>
      <c r="C165" s="58" t="s">
        <v>1234</v>
      </c>
      <c r="D165" s="58" t="s">
        <v>375</v>
      </c>
      <c r="E165" s="59" t="s">
        <v>1236</v>
      </c>
      <c r="F165" s="55" t="s">
        <v>194</v>
      </c>
      <c r="G165" s="55" t="s">
        <v>195</v>
      </c>
      <c r="H165" t="s">
        <v>300</v>
      </c>
      <c r="I165" t="s">
        <v>373</v>
      </c>
      <c r="J165" t="s">
        <v>375</v>
      </c>
      <c r="K165" s="58">
        <v>11701000039</v>
      </c>
      <c r="L165" s="58" t="s">
        <v>380</v>
      </c>
      <c r="M165" s="57">
        <v>25942.7</v>
      </c>
      <c r="N165" s="57">
        <v>46727.14</v>
      </c>
      <c r="O165" s="57">
        <v>6755.18</v>
      </c>
      <c r="Q165">
        <v>110</v>
      </c>
      <c r="R165" t="s">
        <v>885</v>
      </c>
      <c r="T165" s="57">
        <v>25942.7</v>
      </c>
      <c r="U165" s="57">
        <v>46727.14</v>
      </c>
      <c r="V165" s="57">
        <v>6755.18</v>
      </c>
    </row>
    <row r="166" spans="1:22" ht="15.75" customHeight="1" x14ac:dyDescent="0.3">
      <c r="A166" s="57" t="s">
        <v>194</v>
      </c>
      <c r="B166" s="57" t="s">
        <v>195</v>
      </c>
      <c r="C166" s="58" t="s">
        <v>1234</v>
      </c>
      <c r="D166" s="58" t="s">
        <v>375</v>
      </c>
      <c r="E166" s="59" t="s">
        <v>1236</v>
      </c>
      <c r="F166" s="55" t="s">
        <v>194</v>
      </c>
      <c r="G166" s="55" t="s">
        <v>195</v>
      </c>
      <c r="H166" t="s">
        <v>300</v>
      </c>
      <c r="I166" t="s">
        <v>373</v>
      </c>
      <c r="J166" t="s">
        <v>375</v>
      </c>
      <c r="K166" s="58">
        <v>11701000043</v>
      </c>
      <c r="L166" s="58" t="s">
        <v>381</v>
      </c>
      <c r="M166" s="57">
        <v>22.18</v>
      </c>
      <c r="N166" s="57">
        <v>115.05</v>
      </c>
      <c r="O166" s="57">
        <v>25.83</v>
      </c>
      <c r="Q166">
        <v>110</v>
      </c>
      <c r="R166" t="s">
        <v>885</v>
      </c>
      <c r="T166" s="57">
        <v>22.18</v>
      </c>
      <c r="U166" s="57">
        <v>115.05</v>
      </c>
      <c r="V166" s="57">
        <v>25.83</v>
      </c>
    </row>
    <row r="167" spans="1:22" ht="15.75" customHeight="1" x14ac:dyDescent="0.3">
      <c r="A167" s="57" t="s">
        <v>194</v>
      </c>
      <c r="B167" s="57" t="s">
        <v>195</v>
      </c>
      <c r="C167" s="58" t="s">
        <v>1234</v>
      </c>
      <c r="D167" s="58" t="s">
        <v>375</v>
      </c>
      <c r="E167" s="59" t="s">
        <v>1236</v>
      </c>
      <c r="F167" s="55" t="s">
        <v>194</v>
      </c>
      <c r="G167" s="55" t="s">
        <v>195</v>
      </c>
      <c r="H167" t="s">
        <v>300</v>
      </c>
      <c r="I167" t="s">
        <v>373</v>
      </c>
      <c r="J167" t="s">
        <v>375</v>
      </c>
      <c r="K167" s="58">
        <v>11701000044</v>
      </c>
      <c r="L167" s="58" t="s">
        <v>382</v>
      </c>
      <c r="M167" s="57">
        <v>0</v>
      </c>
      <c r="N167" s="57">
        <v>38.72</v>
      </c>
      <c r="O167" s="57">
        <v>8.2799999999999994</v>
      </c>
      <c r="Q167">
        <v>110</v>
      </c>
      <c r="R167" t="s">
        <v>885</v>
      </c>
      <c r="T167" s="57">
        <v>0</v>
      </c>
      <c r="U167" s="57">
        <v>38.72</v>
      </c>
      <c r="V167" s="57">
        <v>8.2799999999999994</v>
      </c>
    </row>
    <row r="168" spans="1:22" ht="15.75" customHeight="1" x14ac:dyDescent="0.3">
      <c r="A168" s="57" t="s">
        <v>194</v>
      </c>
      <c r="B168" s="57" t="s">
        <v>195</v>
      </c>
      <c r="C168" s="58" t="s">
        <v>1234</v>
      </c>
      <c r="D168" s="58" t="s">
        <v>375</v>
      </c>
      <c r="E168" s="59" t="s">
        <v>1236</v>
      </c>
      <c r="F168" s="55" t="s">
        <v>194</v>
      </c>
      <c r="G168" s="55" t="s">
        <v>195</v>
      </c>
      <c r="H168" t="s">
        <v>300</v>
      </c>
      <c r="I168" t="s">
        <v>373</v>
      </c>
      <c r="J168" t="s">
        <v>375</v>
      </c>
      <c r="K168" s="58">
        <v>11701000046</v>
      </c>
      <c r="L168" s="58" t="s">
        <v>383</v>
      </c>
      <c r="M168" s="57">
        <v>-15111.14</v>
      </c>
      <c r="N168" s="57">
        <v>425.5</v>
      </c>
      <c r="O168" s="57">
        <v>43.89</v>
      </c>
      <c r="Q168">
        <v>110</v>
      </c>
      <c r="R168" t="s">
        <v>885</v>
      </c>
      <c r="T168" s="57">
        <v>-15111.14</v>
      </c>
      <c r="U168" s="57">
        <v>425.5</v>
      </c>
      <c r="V168" s="57">
        <v>43.89</v>
      </c>
    </row>
    <row r="169" spans="1:22" ht="15.75" customHeight="1" x14ac:dyDescent="0.3">
      <c r="A169" s="57" t="s">
        <v>194</v>
      </c>
      <c r="B169" s="57" t="s">
        <v>195</v>
      </c>
      <c r="C169" s="58" t="s">
        <v>1234</v>
      </c>
      <c r="D169" s="58" t="s">
        <v>375</v>
      </c>
      <c r="E169" s="59" t="s">
        <v>1236</v>
      </c>
      <c r="F169" s="55" t="s">
        <v>194</v>
      </c>
      <c r="G169" s="55" t="s">
        <v>195</v>
      </c>
      <c r="H169" t="s">
        <v>300</v>
      </c>
      <c r="I169" t="s">
        <v>373</v>
      </c>
      <c r="J169" t="s">
        <v>375</v>
      </c>
      <c r="K169" s="58">
        <v>11701000049</v>
      </c>
      <c r="L169" s="58" t="s">
        <v>384</v>
      </c>
      <c r="M169" s="57">
        <v>-1402.41</v>
      </c>
      <c r="N169" s="57">
        <v>22502.26</v>
      </c>
      <c r="O169" s="57">
        <v>63430.81</v>
      </c>
      <c r="Q169">
        <v>110</v>
      </c>
      <c r="R169" t="s">
        <v>885</v>
      </c>
      <c r="T169" s="57">
        <v>-1402.41</v>
      </c>
      <c r="U169" s="57">
        <v>22502.26</v>
      </c>
      <c r="V169" s="57">
        <v>63430.81</v>
      </c>
    </row>
    <row r="170" spans="1:22" ht="15.75" customHeight="1" x14ac:dyDescent="0.3">
      <c r="A170" s="57" t="s">
        <v>194</v>
      </c>
      <c r="B170" s="57" t="s">
        <v>195</v>
      </c>
      <c r="C170" s="58" t="s">
        <v>1234</v>
      </c>
      <c r="D170" s="58" t="s">
        <v>375</v>
      </c>
      <c r="E170" s="59" t="s">
        <v>1236</v>
      </c>
      <c r="F170" s="55" t="s">
        <v>194</v>
      </c>
      <c r="G170" s="55" t="s">
        <v>195</v>
      </c>
      <c r="H170" t="s">
        <v>300</v>
      </c>
      <c r="I170" t="s">
        <v>373</v>
      </c>
      <c r="J170" t="s">
        <v>375</v>
      </c>
      <c r="K170" s="58">
        <v>11701000053</v>
      </c>
      <c r="L170" s="58" t="s">
        <v>385</v>
      </c>
      <c r="M170" s="57">
        <v>167911.36</v>
      </c>
      <c r="N170" s="57">
        <v>6041.6</v>
      </c>
      <c r="O170" s="57">
        <v>75.92</v>
      </c>
      <c r="Q170">
        <v>110</v>
      </c>
      <c r="R170" t="s">
        <v>885</v>
      </c>
      <c r="T170" s="57">
        <v>167911.36</v>
      </c>
      <c r="U170" s="57">
        <v>6041.6</v>
      </c>
      <c r="V170" s="57">
        <v>75.92</v>
      </c>
    </row>
    <row r="171" spans="1:22" ht="15.75" customHeight="1" x14ac:dyDescent="0.3">
      <c r="A171" s="57" t="s">
        <v>194</v>
      </c>
      <c r="B171" s="57" t="s">
        <v>195</v>
      </c>
      <c r="C171" s="58" t="s">
        <v>1234</v>
      </c>
      <c r="D171" s="58" t="s">
        <v>375</v>
      </c>
      <c r="E171" s="59" t="s">
        <v>1236</v>
      </c>
      <c r="F171" s="55" t="s">
        <v>194</v>
      </c>
      <c r="G171" s="55" t="s">
        <v>195</v>
      </c>
      <c r="H171" t="s">
        <v>300</v>
      </c>
      <c r="I171" t="s">
        <v>373</v>
      </c>
      <c r="J171" t="s">
        <v>375</v>
      </c>
      <c r="K171" s="58">
        <v>11701000054</v>
      </c>
      <c r="L171" s="58" t="s">
        <v>386</v>
      </c>
      <c r="M171" s="57">
        <v>0</v>
      </c>
      <c r="N171" s="57">
        <v>10735.53</v>
      </c>
      <c r="O171" s="57">
        <v>0</v>
      </c>
      <c r="Q171">
        <v>110</v>
      </c>
      <c r="R171" t="s">
        <v>885</v>
      </c>
      <c r="T171" s="57">
        <v>0</v>
      </c>
      <c r="U171" s="57">
        <v>10735.53</v>
      </c>
      <c r="V171" s="57">
        <v>0</v>
      </c>
    </row>
    <row r="172" spans="1:22" ht="15.75" customHeight="1" x14ac:dyDescent="0.3">
      <c r="A172" s="57" t="s">
        <v>194</v>
      </c>
      <c r="B172" s="57" t="s">
        <v>195</v>
      </c>
      <c r="C172" s="58" t="s">
        <v>1234</v>
      </c>
      <c r="D172" s="58" t="s">
        <v>375</v>
      </c>
      <c r="E172" s="59" t="s">
        <v>1236</v>
      </c>
      <c r="F172" s="55" t="s">
        <v>194</v>
      </c>
      <c r="G172" s="55" t="s">
        <v>195</v>
      </c>
      <c r="H172" t="s">
        <v>300</v>
      </c>
      <c r="I172" t="s">
        <v>373</v>
      </c>
      <c r="J172" t="s">
        <v>375</v>
      </c>
      <c r="K172" s="58">
        <v>11701000055</v>
      </c>
      <c r="L172" s="58" t="s">
        <v>387</v>
      </c>
      <c r="M172" s="57">
        <v>25.47</v>
      </c>
      <c r="N172" s="57">
        <v>36.85</v>
      </c>
      <c r="O172" s="57">
        <v>36.85</v>
      </c>
      <c r="Q172">
        <v>110</v>
      </c>
      <c r="R172" t="s">
        <v>885</v>
      </c>
      <c r="T172" s="57">
        <v>25.47</v>
      </c>
      <c r="U172" s="57">
        <v>36.85</v>
      </c>
      <c r="V172" s="57">
        <v>36.85</v>
      </c>
    </row>
    <row r="173" spans="1:22" ht="15.75" customHeight="1" x14ac:dyDescent="0.3">
      <c r="A173" s="57" t="s">
        <v>194</v>
      </c>
      <c r="B173" s="57" t="s">
        <v>195</v>
      </c>
      <c r="C173" s="58" t="s">
        <v>1234</v>
      </c>
      <c r="D173" s="58" t="s">
        <v>375</v>
      </c>
      <c r="E173" s="59" t="s">
        <v>1236</v>
      </c>
      <c r="F173" s="55" t="s">
        <v>194</v>
      </c>
      <c r="G173" s="55" t="s">
        <v>195</v>
      </c>
      <c r="H173" t="s">
        <v>300</v>
      </c>
      <c r="I173" t="s">
        <v>373</v>
      </c>
      <c r="J173" t="s">
        <v>375</v>
      </c>
      <c r="K173" s="58">
        <v>11701000056</v>
      </c>
      <c r="L173" s="58" t="s">
        <v>388</v>
      </c>
      <c r="M173" s="57">
        <v>106.15</v>
      </c>
      <c r="N173" s="57">
        <v>488222.93</v>
      </c>
      <c r="O173" s="57">
        <v>458.79</v>
      </c>
      <c r="Q173">
        <v>110</v>
      </c>
      <c r="R173" t="s">
        <v>885</v>
      </c>
      <c r="T173" s="57">
        <v>106.15</v>
      </c>
      <c r="U173" s="57">
        <v>488222.93</v>
      </c>
      <c r="V173" s="57">
        <v>458.79</v>
      </c>
    </row>
    <row r="174" spans="1:22" ht="15.75" customHeight="1" x14ac:dyDescent="0.3">
      <c r="A174" s="57" t="s">
        <v>194</v>
      </c>
      <c r="B174" s="57" t="s">
        <v>195</v>
      </c>
      <c r="C174" s="58" t="s">
        <v>1234</v>
      </c>
      <c r="D174" s="58" t="s">
        <v>375</v>
      </c>
      <c r="E174" s="59" t="s">
        <v>1236</v>
      </c>
      <c r="F174" s="55" t="s">
        <v>194</v>
      </c>
      <c r="G174" s="55" t="s">
        <v>195</v>
      </c>
      <c r="H174" t="s">
        <v>300</v>
      </c>
      <c r="I174" t="s">
        <v>373</v>
      </c>
      <c r="J174" t="s">
        <v>375</v>
      </c>
      <c r="K174" s="58">
        <v>11701000058</v>
      </c>
      <c r="L174" s="58" t="s">
        <v>389</v>
      </c>
      <c r="M174" s="57">
        <v>612.44000000000005</v>
      </c>
      <c r="N174" s="57">
        <v>394.42</v>
      </c>
      <c r="O174" s="57">
        <v>134.61000000000001</v>
      </c>
      <c r="Q174">
        <v>110</v>
      </c>
      <c r="R174" t="s">
        <v>885</v>
      </c>
      <c r="T174" s="57">
        <v>612.44000000000005</v>
      </c>
      <c r="U174" s="57">
        <v>394.42</v>
      </c>
      <c r="V174" s="57">
        <v>134.61000000000001</v>
      </c>
    </row>
    <row r="175" spans="1:22" ht="15.75" customHeight="1" x14ac:dyDescent="0.3">
      <c r="A175" s="57" t="s">
        <v>194</v>
      </c>
      <c r="B175" s="57" t="s">
        <v>195</v>
      </c>
      <c r="C175" s="58" t="s">
        <v>1234</v>
      </c>
      <c r="D175" s="58" t="s">
        <v>375</v>
      </c>
      <c r="E175" s="59" t="s">
        <v>1236</v>
      </c>
      <c r="F175" s="55" t="s">
        <v>194</v>
      </c>
      <c r="G175" s="55" t="s">
        <v>195</v>
      </c>
      <c r="H175" t="s">
        <v>300</v>
      </c>
      <c r="I175" t="s">
        <v>373</v>
      </c>
      <c r="J175" t="s">
        <v>375</v>
      </c>
      <c r="K175" s="58">
        <v>11701000059</v>
      </c>
      <c r="L175" s="58" t="s">
        <v>390</v>
      </c>
      <c r="M175" s="57">
        <v>0</v>
      </c>
      <c r="N175" s="57">
        <v>36930.800000000003</v>
      </c>
      <c r="O175" s="57">
        <v>0</v>
      </c>
      <c r="Q175">
        <v>110</v>
      </c>
      <c r="R175" t="s">
        <v>885</v>
      </c>
      <c r="T175" s="57">
        <v>0</v>
      </c>
      <c r="U175" s="57">
        <v>36930.800000000003</v>
      </c>
      <c r="V175" s="57">
        <v>0</v>
      </c>
    </row>
    <row r="176" spans="1:22" ht="15.75" customHeight="1" x14ac:dyDescent="0.3">
      <c r="A176" s="57" t="s">
        <v>194</v>
      </c>
      <c r="B176" s="57" t="s">
        <v>195</v>
      </c>
      <c r="C176" s="58" t="s">
        <v>1234</v>
      </c>
      <c r="D176" s="58" t="s">
        <v>375</v>
      </c>
      <c r="E176" s="59" t="s">
        <v>1236</v>
      </c>
      <c r="F176" s="55" t="s">
        <v>194</v>
      </c>
      <c r="G176" s="55" t="s">
        <v>195</v>
      </c>
      <c r="H176" t="s">
        <v>300</v>
      </c>
      <c r="I176" t="s">
        <v>373</v>
      </c>
      <c r="J176" t="s">
        <v>375</v>
      </c>
      <c r="K176" s="58">
        <v>11701000060</v>
      </c>
      <c r="L176" s="58" t="s">
        <v>391</v>
      </c>
      <c r="M176" s="57">
        <v>40377.43</v>
      </c>
      <c r="N176" s="57">
        <v>27931.1</v>
      </c>
      <c r="O176" s="57">
        <v>0</v>
      </c>
      <c r="Q176">
        <v>110</v>
      </c>
      <c r="R176" t="s">
        <v>885</v>
      </c>
      <c r="T176" s="57">
        <v>40377.43</v>
      </c>
      <c r="U176" s="57">
        <v>27931.1</v>
      </c>
      <c r="V176" s="57">
        <v>0</v>
      </c>
    </row>
    <row r="177" spans="1:26" ht="15.75" customHeight="1" x14ac:dyDescent="0.3">
      <c r="A177" s="57" t="s">
        <v>194</v>
      </c>
      <c r="B177" s="57" t="s">
        <v>195</v>
      </c>
      <c r="C177" s="58" t="s">
        <v>1234</v>
      </c>
      <c r="D177" s="58" t="s">
        <v>375</v>
      </c>
      <c r="E177" s="59" t="s">
        <v>1236</v>
      </c>
      <c r="F177" s="55" t="s">
        <v>194</v>
      </c>
      <c r="G177" s="55" t="s">
        <v>195</v>
      </c>
      <c r="H177" t="s">
        <v>300</v>
      </c>
      <c r="I177" t="s">
        <v>373</v>
      </c>
      <c r="J177" t="s">
        <v>375</v>
      </c>
      <c r="K177" s="58">
        <v>11701000063</v>
      </c>
      <c r="L177" s="58" t="s">
        <v>392</v>
      </c>
      <c r="M177" s="57">
        <v>0</v>
      </c>
      <c r="N177" s="57">
        <v>1000</v>
      </c>
      <c r="O177" s="57">
        <v>0</v>
      </c>
      <c r="Q177">
        <v>110</v>
      </c>
      <c r="R177" t="s">
        <v>885</v>
      </c>
      <c r="T177" s="57">
        <v>0</v>
      </c>
      <c r="U177" s="57">
        <v>1000</v>
      </c>
      <c r="V177" s="57">
        <v>0</v>
      </c>
    </row>
    <row r="178" spans="1:26" ht="15.75" customHeight="1" x14ac:dyDescent="0.3">
      <c r="A178" s="57" t="s">
        <v>194</v>
      </c>
      <c r="B178" s="57" t="s">
        <v>195</v>
      </c>
      <c r="C178" s="58" t="s">
        <v>1234</v>
      </c>
      <c r="D178" s="58" t="s">
        <v>375</v>
      </c>
      <c r="E178" s="59" t="s">
        <v>1236</v>
      </c>
      <c r="F178" s="55" t="s">
        <v>194</v>
      </c>
      <c r="G178" s="55" t="s">
        <v>195</v>
      </c>
      <c r="H178" t="s">
        <v>300</v>
      </c>
      <c r="I178" t="s">
        <v>373</v>
      </c>
      <c r="J178" t="s">
        <v>375</v>
      </c>
      <c r="K178" s="58">
        <v>11901000011</v>
      </c>
      <c r="L178" s="58" t="s">
        <v>393</v>
      </c>
      <c r="M178" s="57">
        <v>6847.5</v>
      </c>
      <c r="N178" s="57">
        <v>600.17999999999995</v>
      </c>
      <c r="O178" s="57">
        <v>0</v>
      </c>
      <c r="Q178">
        <v>110</v>
      </c>
      <c r="R178" t="s">
        <v>885</v>
      </c>
      <c r="T178" s="57">
        <v>6847.5</v>
      </c>
      <c r="U178" s="57">
        <v>600.17999999999995</v>
      </c>
      <c r="V178" s="57">
        <v>0</v>
      </c>
    </row>
    <row r="179" spans="1:26" ht="15.75" customHeight="1" x14ac:dyDescent="0.3">
      <c r="A179" s="57" t="s">
        <v>194</v>
      </c>
      <c r="B179" s="57" t="s">
        <v>195</v>
      </c>
      <c r="C179" s="58" t="s">
        <v>937</v>
      </c>
      <c r="D179" s="58" t="s">
        <v>305</v>
      </c>
      <c r="E179" s="59" t="s">
        <v>1220</v>
      </c>
      <c r="F179" s="55" t="s">
        <v>194</v>
      </c>
      <c r="G179" s="55" t="s">
        <v>195</v>
      </c>
      <c r="H179" t="s">
        <v>300</v>
      </c>
      <c r="I179" t="s">
        <v>306</v>
      </c>
      <c r="J179" t="s">
        <v>305</v>
      </c>
      <c r="K179" s="58">
        <v>11701000026</v>
      </c>
      <c r="L179" s="58" t="s">
        <v>394</v>
      </c>
      <c r="M179" s="57">
        <v>8263.27</v>
      </c>
      <c r="N179" s="57">
        <v>0</v>
      </c>
      <c r="O179" s="57">
        <v>0</v>
      </c>
      <c r="Q179">
        <v>90</v>
      </c>
      <c r="R179" t="s">
        <v>869</v>
      </c>
      <c r="T179" s="57">
        <v>8263.27</v>
      </c>
      <c r="U179" s="57">
        <v>0</v>
      </c>
      <c r="V179" s="57">
        <v>0</v>
      </c>
      <c r="X179" s="55"/>
    </row>
    <row r="180" spans="1:26" ht="15.75" customHeight="1" x14ac:dyDescent="0.3">
      <c r="A180" s="57" t="s">
        <v>194</v>
      </c>
      <c r="B180" s="57" t="s">
        <v>195</v>
      </c>
      <c r="C180" s="58" t="s">
        <v>1237</v>
      </c>
      <c r="D180" s="58" t="s">
        <v>1238</v>
      </c>
      <c r="E180" s="59" t="s">
        <v>10</v>
      </c>
      <c r="F180" s="55" t="s">
        <v>194</v>
      </c>
      <c r="G180" s="55" t="s">
        <v>195</v>
      </c>
      <c r="H180" t="s">
        <v>300</v>
      </c>
      <c r="I180" t="s">
        <v>317</v>
      </c>
      <c r="J180" t="s">
        <v>297</v>
      </c>
      <c r="K180" s="72">
        <v>11802</v>
      </c>
      <c r="L180" s="73" t="s">
        <v>395</v>
      </c>
      <c r="M180" s="57">
        <v>20561.02</v>
      </c>
      <c r="N180" s="57">
        <v>20984.44</v>
      </c>
      <c r="O180" s="57">
        <v>51822.65</v>
      </c>
      <c r="Q180">
        <v>100</v>
      </c>
      <c r="R180" t="s">
        <v>921</v>
      </c>
      <c r="T180" s="57">
        <v>20561.02</v>
      </c>
      <c r="U180" s="57">
        <v>28634.44</v>
      </c>
      <c r="V180" s="57">
        <v>60137.03</v>
      </c>
      <c r="W180" s="55"/>
      <c r="X180" s="364"/>
      <c r="Y180" s="55"/>
      <c r="Z180" s="55"/>
    </row>
    <row r="181" spans="1:26" ht="15.75" customHeight="1" x14ac:dyDescent="0.3">
      <c r="A181" s="57" t="s">
        <v>194</v>
      </c>
      <c r="B181" s="57" t="s">
        <v>309</v>
      </c>
      <c r="C181" s="58" t="s">
        <v>396</v>
      </c>
      <c r="D181" s="58" t="s">
        <v>971</v>
      </c>
      <c r="E181" s="59" t="s">
        <v>1239</v>
      </c>
      <c r="F181" s="55" t="s">
        <v>194</v>
      </c>
      <c r="G181" s="55" t="s">
        <v>309</v>
      </c>
      <c r="H181" t="s">
        <v>396</v>
      </c>
      <c r="I181" t="s">
        <v>397</v>
      </c>
      <c r="J181" t="s">
        <v>397</v>
      </c>
      <c r="K181" s="60">
        <v>33001000001</v>
      </c>
      <c r="L181" s="60" t="s">
        <v>62</v>
      </c>
      <c r="M181" s="57">
        <v>-5300000</v>
      </c>
      <c r="N181" s="57">
        <v>-5300000</v>
      </c>
      <c r="O181" s="57">
        <v>-5300000</v>
      </c>
      <c r="Q181">
        <v>120</v>
      </c>
      <c r="R181" t="s">
        <v>889</v>
      </c>
      <c r="T181" s="57">
        <v>-5300000</v>
      </c>
      <c r="U181" s="57">
        <v>-5300000</v>
      </c>
      <c r="V181" s="57">
        <v>-5300000</v>
      </c>
    </row>
    <row r="182" spans="1:26" ht="15.75" customHeight="1" x14ac:dyDescent="0.3">
      <c r="A182" s="57" t="s">
        <v>194</v>
      </c>
      <c r="B182" s="57" t="s">
        <v>309</v>
      </c>
      <c r="C182" s="58" t="s">
        <v>396</v>
      </c>
      <c r="D182" s="58" t="s">
        <v>398</v>
      </c>
      <c r="E182" s="59" t="s">
        <v>1240</v>
      </c>
      <c r="F182" s="55" t="s">
        <v>194</v>
      </c>
      <c r="G182" s="55" t="s">
        <v>309</v>
      </c>
      <c r="H182" t="s">
        <v>396</v>
      </c>
      <c r="I182" t="s">
        <v>399</v>
      </c>
      <c r="J182" t="s">
        <v>399</v>
      </c>
      <c r="K182" s="60">
        <v>33004000001</v>
      </c>
      <c r="L182" s="60" t="s">
        <v>398</v>
      </c>
      <c r="M182" s="57">
        <v>-28446.1</v>
      </c>
      <c r="N182" s="57">
        <v>-31060.1</v>
      </c>
      <c r="O182" s="57">
        <v>-35125.1</v>
      </c>
      <c r="P182" s="55"/>
      <c r="Q182">
        <v>130</v>
      </c>
      <c r="R182" t="s">
        <v>888</v>
      </c>
      <c r="T182" s="57">
        <v>-28446.1</v>
      </c>
      <c r="U182" s="57">
        <v>-31060.1</v>
      </c>
      <c r="V182" s="57">
        <v>-35125.1</v>
      </c>
    </row>
    <row r="183" spans="1:26" ht="15.75" customHeight="1" x14ac:dyDescent="0.3">
      <c r="A183" s="57" t="s">
        <v>194</v>
      </c>
      <c r="B183" s="57" t="s">
        <v>309</v>
      </c>
      <c r="C183" s="58" t="s">
        <v>396</v>
      </c>
      <c r="D183" s="58" t="s">
        <v>132</v>
      </c>
      <c r="E183" s="59" t="s">
        <v>1241</v>
      </c>
      <c r="F183" s="55" t="s">
        <v>194</v>
      </c>
      <c r="G183" s="55" t="s">
        <v>309</v>
      </c>
      <c r="H183" t="s">
        <v>396</v>
      </c>
      <c r="I183" t="s">
        <v>132</v>
      </c>
      <c r="J183" t="s">
        <v>132</v>
      </c>
      <c r="K183" s="60">
        <v>33006000001</v>
      </c>
      <c r="L183" s="60" t="s">
        <v>400</v>
      </c>
      <c r="M183" s="57">
        <v>-118828</v>
      </c>
      <c r="N183" s="57">
        <v>-118828</v>
      </c>
      <c r="O183" s="57">
        <v>-118828</v>
      </c>
      <c r="Q183">
        <v>130</v>
      </c>
      <c r="R183" t="s">
        <v>890</v>
      </c>
      <c r="T183" s="57">
        <v>-118828</v>
      </c>
      <c r="U183" s="57">
        <v>-118828</v>
      </c>
      <c r="V183" s="57">
        <v>-118828</v>
      </c>
    </row>
    <row r="184" spans="1:26" ht="15.75" customHeight="1" x14ac:dyDescent="0.3">
      <c r="A184" s="57" t="s">
        <v>194</v>
      </c>
      <c r="B184" s="57" t="s">
        <v>309</v>
      </c>
      <c r="C184" s="58" t="s">
        <v>396</v>
      </c>
      <c r="D184" s="58" t="s">
        <v>132</v>
      </c>
      <c r="E184" s="59" t="s">
        <v>1241</v>
      </c>
      <c r="F184" s="55" t="s">
        <v>194</v>
      </c>
      <c r="G184" s="55" t="s">
        <v>309</v>
      </c>
      <c r="H184" t="s">
        <v>396</v>
      </c>
      <c r="I184" t="s">
        <v>132</v>
      </c>
      <c r="J184" t="s">
        <v>132</v>
      </c>
      <c r="K184" s="60">
        <v>33007000001</v>
      </c>
      <c r="L184" s="60" t="s">
        <v>401</v>
      </c>
      <c r="M184" s="57">
        <v>-421643.72</v>
      </c>
      <c r="N184" s="57">
        <v>-471326.71999999997</v>
      </c>
      <c r="O184" s="57">
        <v>-312829.49685508723</v>
      </c>
      <c r="P184" s="55"/>
      <c r="Q184">
        <v>130</v>
      </c>
      <c r="R184" t="s">
        <v>890</v>
      </c>
      <c r="T184" s="57">
        <v>-421643.72</v>
      </c>
      <c r="U184" s="57">
        <v>-471326.71999999997</v>
      </c>
      <c r="V184" s="57">
        <v>-548559.72</v>
      </c>
    </row>
    <row r="185" spans="1:26" ht="15.75" customHeight="1" x14ac:dyDescent="0.3">
      <c r="A185" s="57" t="s">
        <v>194</v>
      </c>
      <c r="B185" s="57" t="s">
        <v>309</v>
      </c>
      <c r="C185" s="58" t="s">
        <v>1242</v>
      </c>
      <c r="D185" s="58" t="s">
        <v>1243</v>
      </c>
      <c r="E185" s="59" t="s">
        <v>1244</v>
      </c>
      <c r="F185" s="55" t="s">
        <v>194</v>
      </c>
      <c r="G185" s="55" t="s">
        <v>195</v>
      </c>
      <c r="H185" s="64" t="s">
        <v>300</v>
      </c>
      <c r="I185" s="64" t="s">
        <v>306</v>
      </c>
      <c r="J185" s="64" t="s">
        <v>312</v>
      </c>
      <c r="K185" s="69">
        <v>22002000005</v>
      </c>
      <c r="L185" s="69" t="s">
        <v>402</v>
      </c>
      <c r="M185" s="57">
        <v>-570755.94999999995</v>
      </c>
      <c r="N185" s="57">
        <v>-570755.94999999995</v>
      </c>
      <c r="O185" s="57">
        <v>-570755.94999999995</v>
      </c>
      <c r="Q185">
        <v>90</v>
      </c>
      <c r="R185" t="s">
        <v>877</v>
      </c>
      <c r="T185" s="57">
        <v>-570755.94999999995</v>
      </c>
      <c r="U185" s="57">
        <v>-570755.94999999995</v>
      </c>
      <c r="V185" s="57">
        <v>-570755.94999999995</v>
      </c>
      <c r="X185" s="55"/>
    </row>
    <row r="186" spans="1:26" ht="15.75" customHeight="1" x14ac:dyDescent="0.3">
      <c r="A186" s="57" t="s">
        <v>194</v>
      </c>
      <c r="B186" s="57" t="s">
        <v>309</v>
      </c>
      <c r="C186" s="58" t="s">
        <v>1242</v>
      </c>
      <c r="D186" s="58" t="s">
        <v>1245</v>
      </c>
      <c r="E186" s="59" t="s">
        <v>1246</v>
      </c>
      <c r="F186" s="55" t="s">
        <v>194</v>
      </c>
      <c r="G186" s="55" t="s">
        <v>309</v>
      </c>
      <c r="H186" t="s">
        <v>403</v>
      </c>
      <c r="I186" t="s">
        <v>404</v>
      </c>
      <c r="J186" t="s">
        <v>405</v>
      </c>
      <c r="K186" s="69">
        <v>22101000003</v>
      </c>
      <c r="L186" s="69" t="s">
        <v>406</v>
      </c>
      <c r="M186" s="57">
        <v>-228211.83</v>
      </c>
      <c r="N186" s="57">
        <v>-215171.64</v>
      </c>
      <c r="O186" s="57">
        <v>-235786.88</v>
      </c>
      <c r="Q186">
        <v>140</v>
      </c>
      <c r="R186" t="s">
        <v>914</v>
      </c>
      <c r="T186" s="57">
        <v>-284077.99</v>
      </c>
      <c r="U186" s="57">
        <v>-228327.46</v>
      </c>
      <c r="V186" s="57">
        <v>-265505.14</v>
      </c>
    </row>
    <row r="187" spans="1:26" ht="15.75" customHeight="1" x14ac:dyDescent="0.3">
      <c r="A187" s="57"/>
      <c r="B187" s="57"/>
      <c r="C187" s="58"/>
      <c r="D187" s="58"/>
      <c r="E187" s="59"/>
      <c r="F187" s="55" t="s">
        <v>194</v>
      </c>
      <c r="G187" s="55" t="s">
        <v>309</v>
      </c>
      <c r="H187" t="s">
        <v>403</v>
      </c>
      <c r="I187" t="s">
        <v>404</v>
      </c>
      <c r="J187" t="s">
        <v>405</v>
      </c>
      <c r="K187" s="69">
        <v>22001000001</v>
      </c>
      <c r="L187" s="69" t="s">
        <v>1345</v>
      </c>
      <c r="M187" s="57">
        <v>0</v>
      </c>
      <c r="N187" s="57">
        <v>0</v>
      </c>
      <c r="O187" s="57">
        <v>-56266.85</v>
      </c>
      <c r="Q187">
        <v>140</v>
      </c>
      <c r="R187" t="s">
        <v>1354</v>
      </c>
      <c r="T187" s="57">
        <v>0</v>
      </c>
      <c r="U187" s="57">
        <v>0</v>
      </c>
      <c r="V187" s="57">
        <v>-56266.85</v>
      </c>
    </row>
    <row r="188" spans="1:26" ht="15.75" customHeight="1" x14ac:dyDescent="0.3">
      <c r="A188" s="57"/>
      <c r="B188" s="57"/>
      <c r="C188" s="58"/>
      <c r="D188" s="58"/>
      <c r="E188" s="59"/>
      <c r="F188" s="55" t="s">
        <v>194</v>
      </c>
      <c r="G188" s="55" t="s">
        <v>195</v>
      </c>
      <c r="H188" s="64" t="s">
        <v>196</v>
      </c>
      <c r="I188" s="64" t="s">
        <v>329</v>
      </c>
      <c r="J188" s="74" t="s">
        <v>407</v>
      </c>
      <c r="K188" s="69" t="s">
        <v>408</v>
      </c>
      <c r="L188" s="60" t="s">
        <v>409</v>
      </c>
      <c r="M188" s="57">
        <v>11298.72975</v>
      </c>
      <c r="N188" s="57">
        <v>8370.7525000000005</v>
      </c>
      <c r="O188" s="57">
        <v>3224.3999999999983</v>
      </c>
      <c r="Q188">
        <v>50</v>
      </c>
      <c r="R188" t="s">
        <v>915</v>
      </c>
      <c r="T188" s="57">
        <v>0</v>
      </c>
      <c r="U188" s="57">
        <v>0</v>
      </c>
      <c r="V188" s="57">
        <v>0</v>
      </c>
    </row>
    <row r="189" spans="1:26" ht="15.75" customHeight="1" x14ac:dyDescent="0.3">
      <c r="A189" s="57"/>
      <c r="B189" s="57"/>
      <c r="C189" s="58"/>
      <c r="D189" s="58"/>
      <c r="E189" s="59"/>
      <c r="F189" s="55" t="s">
        <v>194</v>
      </c>
      <c r="G189" s="55" t="s">
        <v>195</v>
      </c>
      <c r="H189" s="64" t="s">
        <v>196</v>
      </c>
      <c r="I189" s="64" t="s">
        <v>329</v>
      </c>
      <c r="J189" s="64">
        <v>0</v>
      </c>
      <c r="K189" s="69" t="s">
        <v>410</v>
      </c>
      <c r="L189" s="60" t="s">
        <v>411</v>
      </c>
      <c r="M189" s="57">
        <v>0</v>
      </c>
      <c r="N189" s="57">
        <v>0</v>
      </c>
      <c r="O189" s="57">
        <v>0</v>
      </c>
      <c r="Q189">
        <v>50</v>
      </c>
      <c r="R189" t="s">
        <v>915</v>
      </c>
      <c r="T189" s="57">
        <v>0</v>
      </c>
      <c r="U189" s="57">
        <v>0</v>
      </c>
      <c r="V189" s="57">
        <v>0</v>
      </c>
    </row>
    <row r="190" spans="1:26" ht="15.75" customHeight="1" x14ac:dyDescent="0.3">
      <c r="A190" s="57"/>
      <c r="B190" s="57"/>
      <c r="C190" s="58"/>
      <c r="D190" s="58"/>
      <c r="E190" s="59"/>
      <c r="F190" s="55" t="s">
        <v>194</v>
      </c>
      <c r="G190" s="55" t="s">
        <v>195</v>
      </c>
      <c r="H190" s="64" t="s">
        <v>196</v>
      </c>
      <c r="I190" s="64" t="s">
        <v>329</v>
      </c>
      <c r="J190" s="64">
        <v>0</v>
      </c>
      <c r="K190" s="60" t="s">
        <v>412</v>
      </c>
      <c r="L190" s="60" t="s">
        <v>413</v>
      </c>
      <c r="M190" s="57">
        <v>91218.873351002767</v>
      </c>
      <c r="N190" s="57">
        <v>95670.447059520986</v>
      </c>
      <c r="O190" s="57">
        <v>57557.810507896109</v>
      </c>
      <c r="Q190">
        <v>50</v>
      </c>
      <c r="R190" t="s">
        <v>915</v>
      </c>
      <c r="T190" s="57">
        <v>0</v>
      </c>
      <c r="U190" s="57">
        <v>0</v>
      </c>
      <c r="V190" s="57">
        <v>0</v>
      </c>
    </row>
    <row r="191" spans="1:26" ht="15.75" customHeight="1" x14ac:dyDescent="0.3">
      <c r="A191" s="57"/>
      <c r="B191" s="57"/>
      <c r="C191" s="58"/>
      <c r="D191" s="58"/>
      <c r="E191" s="59"/>
      <c r="F191" s="55" t="s">
        <v>194</v>
      </c>
      <c r="G191" s="55" t="s">
        <v>195</v>
      </c>
      <c r="H191" s="64" t="s">
        <v>196</v>
      </c>
      <c r="I191" s="64" t="s">
        <v>329</v>
      </c>
      <c r="J191" s="64">
        <v>0</v>
      </c>
      <c r="K191" s="60" t="s">
        <v>414</v>
      </c>
      <c r="L191" s="60" t="s">
        <v>415</v>
      </c>
      <c r="M191" s="57">
        <v>12936.494766142208</v>
      </c>
      <c r="N191" s="57">
        <v>13567.808855713884</v>
      </c>
      <c r="O191" s="57">
        <v>9030.7538394834464</v>
      </c>
      <c r="Q191">
        <v>50</v>
      </c>
      <c r="R191" t="s">
        <v>915</v>
      </c>
      <c r="T191" s="57">
        <v>0</v>
      </c>
      <c r="U191" s="57">
        <v>0</v>
      </c>
      <c r="V191" s="57">
        <v>0</v>
      </c>
    </row>
    <row r="192" spans="1:26" ht="15.75" customHeight="1" x14ac:dyDescent="0.3">
      <c r="A192" s="57"/>
      <c r="B192" s="57"/>
      <c r="C192" s="58"/>
      <c r="D192" s="58"/>
      <c r="E192" s="59"/>
      <c r="F192" s="55" t="s">
        <v>194</v>
      </c>
      <c r="G192" s="55" t="s">
        <v>195</v>
      </c>
      <c r="H192" s="64" t="s">
        <v>196</v>
      </c>
      <c r="I192" s="64" t="s">
        <v>329</v>
      </c>
      <c r="J192" s="64">
        <v>0</v>
      </c>
      <c r="K192" s="60" t="s">
        <v>416</v>
      </c>
      <c r="L192" s="60" t="s">
        <v>417</v>
      </c>
      <c r="M192" s="57">
        <v>0</v>
      </c>
      <c r="N192" s="57">
        <v>43.293899999999994</v>
      </c>
      <c r="O192" s="57">
        <v>0.10582000000000846</v>
      </c>
      <c r="Q192">
        <v>50</v>
      </c>
      <c r="R192" t="s">
        <v>915</v>
      </c>
      <c r="T192" s="57">
        <v>0</v>
      </c>
      <c r="U192" s="57">
        <v>0</v>
      </c>
      <c r="V192" s="57">
        <v>0</v>
      </c>
    </row>
    <row r="193" spans="1:26" ht="15.75" customHeight="1" x14ac:dyDescent="0.3">
      <c r="A193" s="57"/>
      <c r="B193" s="57"/>
      <c r="C193" s="58"/>
      <c r="D193" s="58"/>
      <c r="E193" s="59"/>
      <c r="F193" s="55" t="s">
        <v>194</v>
      </c>
      <c r="G193" s="55" t="s">
        <v>195</v>
      </c>
      <c r="H193" s="64" t="s">
        <v>196</v>
      </c>
      <c r="I193" s="64" t="s">
        <v>329</v>
      </c>
      <c r="J193" s="64">
        <v>0</v>
      </c>
      <c r="K193" s="60" t="s">
        <v>418</v>
      </c>
      <c r="L193" s="60" t="s">
        <v>419</v>
      </c>
      <c r="M193" s="57">
        <v>0</v>
      </c>
      <c r="N193" s="57">
        <v>336.64125000000001</v>
      </c>
      <c r="O193" s="57">
        <v>0</v>
      </c>
      <c r="Q193">
        <v>50</v>
      </c>
      <c r="R193" t="s">
        <v>915</v>
      </c>
      <c r="T193" s="57">
        <v>0</v>
      </c>
      <c r="U193" s="57">
        <v>0</v>
      </c>
      <c r="V193" s="57">
        <v>0</v>
      </c>
    </row>
    <row r="194" spans="1:26" ht="15.75" customHeight="1" x14ac:dyDescent="0.3">
      <c r="A194" s="57"/>
      <c r="B194" s="57"/>
      <c r="C194" s="58"/>
      <c r="D194" s="58"/>
      <c r="E194" s="59"/>
      <c r="F194" s="55" t="s">
        <v>194</v>
      </c>
      <c r="G194" s="55" t="s">
        <v>195</v>
      </c>
      <c r="H194" s="64" t="s">
        <v>196</v>
      </c>
      <c r="I194" s="64" t="s">
        <v>329</v>
      </c>
      <c r="J194" s="64">
        <v>0</v>
      </c>
      <c r="K194" s="60" t="s">
        <v>1247</v>
      </c>
      <c r="L194" s="60" t="s">
        <v>1248</v>
      </c>
      <c r="M194" s="57">
        <v>132.96270000000069</v>
      </c>
      <c r="N194" s="57">
        <v>1294.5047700000002</v>
      </c>
      <c r="O194" s="57">
        <v>765.64644000000021</v>
      </c>
      <c r="Q194">
        <v>50</v>
      </c>
      <c r="R194" t="s">
        <v>915</v>
      </c>
      <c r="T194" s="57">
        <v>0</v>
      </c>
      <c r="U194" s="57">
        <v>0</v>
      </c>
      <c r="V194" s="57">
        <v>0</v>
      </c>
    </row>
    <row r="195" spans="1:26" ht="15.75" customHeight="1" x14ac:dyDescent="0.3">
      <c r="A195" s="57"/>
      <c r="B195" s="57"/>
      <c r="C195" s="58"/>
      <c r="D195" s="58"/>
      <c r="E195" s="59"/>
      <c r="F195" s="55" t="s">
        <v>194</v>
      </c>
      <c r="G195" s="55" t="s">
        <v>195</v>
      </c>
      <c r="H195" s="64" t="s">
        <v>196</v>
      </c>
      <c r="I195" s="64" t="s">
        <v>329</v>
      </c>
      <c r="J195" s="64">
        <v>0</v>
      </c>
      <c r="K195" s="60" t="s">
        <v>1249</v>
      </c>
      <c r="L195" s="60" t="s">
        <v>1250</v>
      </c>
      <c r="M195" s="57">
        <v>937.55750000000489</v>
      </c>
      <c r="N195" s="57">
        <v>9127.9182500000024</v>
      </c>
      <c r="O195" s="57">
        <v>5398.7890000000016</v>
      </c>
      <c r="Q195">
        <v>50</v>
      </c>
      <c r="R195" t="s">
        <v>915</v>
      </c>
      <c r="T195" s="57">
        <v>0</v>
      </c>
      <c r="U195" s="57">
        <v>0</v>
      </c>
      <c r="V195" s="57">
        <v>0</v>
      </c>
    </row>
    <row r="196" spans="1:26" ht="15.75" customHeight="1" x14ac:dyDescent="0.3">
      <c r="A196" s="57"/>
      <c r="B196" s="57"/>
      <c r="C196" s="58"/>
      <c r="D196" s="58"/>
      <c r="E196" s="59"/>
      <c r="F196" s="55" t="s">
        <v>194</v>
      </c>
      <c r="G196" s="55" t="s">
        <v>195</v>
      </c>
      <c r="H196" s="64" t="s">
        <v>196</v>
      </c>
      <c r="I196" s="64" t="s">
        <v>329</v>
      </c>
      <c r="J196" s="64">
        <v>0</v>
      </c>
      <c r="K196" s="60" t="s">
        <v>1397</v>
      </c>
      <c r="L196" s="60" t="s">
        <v>1398</v>
      </c>
      <c r="M196" s="57">
        <v>0</v>
      </c>
      <c r="N196" s="57">
        <v>31839.988670409453</v>
      </c>
      <c r="O196" s="57">
        <v>23042.851657571653</v>
      </c>
      <c r="Q196">
        <v>50</v>
      </c>
      <c r="R196" t="s">
        <v>915</v>
      </c>
      <c r="T196" s="57">
        <v>0</v>
      </c>
      <c r="U196" s="57">
        <v>0</v>
      </c>
      <c r="V196" s="57">
        <v>0</v>
      </c>
    </row>
    <row r="197" spans="1:26" ht="15.75" customHeight="1" x14ac:dyDescent="0.3">
      <c r="A197" s="57"/>
      <c r="B197" s="57"/>
      <c r="C197" s="58"/>
      <c r="D197" s="58"/>
      <c r="E197" s="59"/>
      <c r="F197" s="55" t="s">
        <v>194</v>
      </c>
      <c r="G197" s="55" t="s">
        <v>195</v>
      </c>
      <c r="H197" s="64" t="s">
        <v>196</v>
      </c>
      <c r="I197" s="64" t="s">
        <v>329</v>
      </c>
      <c r="J197" s="64">
        <v>0</v>
      </c>
      <c r="K197" s="60" t="s">
        <v>1399</v>
      </c>
      <c r="L197" s="60" t="s">
        <v>1400</v>
      </c>
      <c r="M197" s="57">
        <v>0</v>
      </c>
      <c r="N197" s="57">
        <v>4515.4893023489767</v>
      </c>
      <c r="O197" s="57">
        <v>3612.8248246979529</v>
      </c>
      <c r="Q197">
        <v>50</v>
      </c>
      <c r="R197" t="s">
        <v>915</v>
      </c>
      <c r="T197" s="57">
        <v>0</v>
      </c>
      <c r="U197" s="57">
        <v>0</v>
      </c>
      <c r="V197" s="57">
        <v>0</v>
      </c>
    </row>
    <row r="198" spans="1:26" ht="15.75" customHeight="1" x14ac:dyDescent="0.3">
      <c r="A198" s="57" t="s">
        <v>194</v>
      </c>
      <c r="B198" s="57" t="s">
        <v>309</v>
      </c>
      <c r="C198" s="58" t="s">
        <v>1242</v>
      </c>
      <c r="D198" s="58" t="s">
        <v>1251</v>
      </c>
      <c r="E198" s="59" t="s">
        <v>1252</v>
      </c>
      <c r="F198" s="55" t="s">
        <v>194</v>
      </c>
      <c r="G198" s="55" t="s">
        <v>309</v>
      </c>
      <c r="H198" t="s">
        <v>403</v>
      </c>
      <c r="I198" t="s">
        <v>420</v>
      </c>
      <c r="J198" t="s">
        <v>420</v>
      </c>
      <c r="K198" s="60">
        <v>22002000001</v>
      </c>
      <c r="L198" s="60" t="s">
        <v>421</v>
      </c>
      <c r="M198" s="57">
        <v>-54668.22</v>
      </c>
      <c r="N198" s="57">
        <v>-65874.22</v>
      </c>
      <c r="O198" s="57">
        <v>-53496.07</v>
      </c>
      <c r="Q198">
        <v>170</v>
      </c>
      <c r="R198" t="s">
        <v>916</v>
      </c>
      <c r="T198" s="57">
        <v>-54668.22</v>
      </c>
      <c r="U198" s="57">
        <v>-65874.22</v>
      </c>
      <c r="V198" s="57">
        <v>-53496.07</v>
      </c>
      <c r="X198" s="55"/>
      <c r="Y198" s="55"/>
      <c r="Z198" s="55"/>
    </row>
    <row r="199" spans="1:26" ht="15.75" customHeight="1" x14ac:dyDescent="0.3">
      <c r="A199" s="57" t="s">
        <v>194</v>
      </c>
      <c r="B199" s="57" t="s">
        <v>309</v>
      </c>
      <c r="C199" s="58" t="s">
        <v>1242</v>
      </c>
      <c r="D199" s="58" t="s">
        <v>1251</v>
      </c>
      <c r="E199" s="59" t="s">
        <v>1252</v>
      </c>
      <c r="F199" s="55" t="s">
        <v>194</v>
      </c>
      <c r="G199" s="55" t="s">
        <v>309</v>
      </c>
      <c r="H199" t="s">
        <v>403</v>
      </c>
      <c r="I199" t="s">
        <v>420</v>
      </c>
      <c r="J199" t="s">
        <v>420</v>
      </c>
      <c r="K199" s="60">
        <v>22002000004</v>
      </c>
      <c r="L199" s="60" t="s">
        <v>422</v>
      </c>
      <c r="M199" s="57">
        <v>0</v>
      </c>
      <c r="N199" s="57">
        <v>0</v>
      </c>
      <c r="O199" s="57">
        <v>0</v>
      </c>
      <c r="Q199">
        <v>170</v>
      </c>
      <c r="R199" t="s">
        <v>916</v>
      </c>
      <c r="T199" s="57">
        <v>0</v>
      </c>
      <c r="U199" s="57">
        <v>0</v>
      </c>
      <c r="V199" s="57">
        <v>0</v>
      </c>
    </row>
    <row r="200" spans="1:26" ht="15.75" customHeight="1" x14ac:dyDescent="0.3">
      <c r="A200" s="57" t="s">
        <v>194</v>
      </c>
      <c r="B200" s="57" t="s">
        <v>309</v>
      </c>
      <c r="C200" s="58" t="s">
        <v>1253</v>
      </c>
      <c r="D200" s="58" t="s">
        <v>1253</v>
      </c>
      <c r="E200" s="59" t="s">
        <v>8</v>
      </c>
      <c r="F200" s="55" t="s">
        <v>194</v>
      </c>
      <c r="G200" s="55" t="s">
        <v>309</v>
      </c>
      <c r="H200" t="s">
        <v>403</v>
      </c>
      <c r="I200" t="s">
        <v>423</v>
      </c>
      <c r="J200" t="s">
        <v>424</v>
      </c>
      <c r="K200" s="60">
        <v>22101000004</v>
      </c>
      <c r="L200" s="60" t="s">
        <v>425</v>
      </c>
      <c r="M200" s="57">
        <v>-635411.93999999994</v>
      </c>
      <c r="N200" s="57">
        <v>-706503.92</v>
      </c>
      <c r="O200" s="57">
        <v>-674083.57</v>
      </c>
      <c r="Q200">
        <v>150</v>
      </c>
      <c r="R200" t="s">
        <v>894</v>
      </c>
      <c r="T200" s="57">
        <v>-635411.93999999994</v>
      </c>
      <c r="U200" s="57">
        <v>-706503.92</v>
      </c>
      <c r="V200" s="57">
        <v>-674083.57</v>
      </c>
    </row>
    <row r="201" spans="1:26" ht="15.75" customHeight="1" x14ac:dyDescent="0.3">
      <c r="A201" s="57" t="s">
        <v>194</v>
      </c>
      <c r="B201" s="57" t="s">
        <v>309</v>
      </c>
      <c r="C201" s="58" t="s">
        <v>1253</v>
      </c>
      <c r="D201" s="58" t="s">
        <v>1253</v>
      </c>
      <c r="E201" s="59" t="s">
        <v>8</v>
      </c>
      <c r="F201" s="55" t="s">
        <v>194</v>
      </c>
      <c r="G201" s="55" t="s">
        <v>309</v>
      </c>
      <c r="H201" t="s">
        <v>403</v>
      </c>
      <c r="I201" t="s">
        <v>423</v>
      </c>
      <c r="J201" t="s">
        <v>424</v>
      </c>
      <c r="K201" s="60">
        <v>22101000001</v>
      </c>
      <c r="L201" s="60" t="s">
        <v>426</v>
      </c>
      <c r="M201" s="57">
        <v>-226779.54</v>
      </c>
      <c r="N201" s="57">
        <v>-239398.31</v>
      </c>
      <c r="O201" s="57">
        <v>-227225.36</v>
      </c>
      <c r="Q201">
        <v>150</v>
      </c>
      <c r="R201" t="s">
        <v>894</v>
      </c>
      <c r="T201" s="57">
        <v>-223370.23999999999</v>
      </c>
      <c r="U201" s="57">
        <v>-206205.88</v>
      </c>
      <c r="V201" s="57">
        <v>-207593.4</v>
      </c>
    </row>
    <row r="202" spans="1:26" ht="15.75" customHeight="1" x14ac:dyDescent="0.3">
      <c r="A202" s="57"/>
      <c r="B202" s="57"/>
      <c r="C202" s="58"/>
      <c r="D202" s="58"/>
      <c r="E202" s="59" t="s">
        <v>8</v>
      </c>
      <c r="F202" s="55" t="s">
        <v>194</v>
      </c>
      <c r="G202" s="55" t="s">
        <v>309</v>
      </c>
      <c r="H202" t="s">
        <v>403</v>
      </c>
      <c r="I202" t="s">
        <v>423</v>
      </c>
      <c r="J202" t="s">
        <v>424</v>
      </c>
      <c r="K202" s="60">
        <v>22101000005</v>
      </c>
      <c r="L202" s="60" t="s">
        <v>427</v>
      </c>
      <c r="M202" s="57">
        <v>0</v>
      </c>
      <c r="N202" s="57">
        <v>0</v>
      </c>
      <c r="O202" s="57">
        <v>-74502.27</v>
      </c>
      <c r="Q202">
        <v>150</v>
      </c>
      <c r="R202" t="s">
        <v>894</v>
      </c>
      <c r="T202" s="57">
        <v>0</v>
      </c>
      <c r="U202" s="57">
        <v>0</v>
      </c>
      <c r="V202" s="57">
        <v>-74502.27</v>
      </c>
    </row>
    <row r="203" spans="1:26" ht="15.75" customHeight="1" x14ac:dyDescent="0.3">
      <c r="A203" s="57" t="s">
        <v>194</v>
      </c>
      <c r="B203" s="57" t="s">
        <v>309</v>
      </c>
      <c r="C203" s="58" t="s">
        <v>1221</v>
      </c>
      <c r="D203" s="58" t="s">
        <v>1254</v>
      </c>
      <c r="E203" s="59" t="s">
        <v>1255</v>
      </c>
      <c r="F203" s="55" t="s">
        <v>194</v>
      </c>
      <c r="G203" s="55" t="s">
        <v>309</v>
      </c>
      <c r="H203" t="s">
        <v>357</v>
      </c>
      <c r="I203" t="s">
        <v>428</v>
      </c>
      <c r="J203" t="s">
        <v>429</v>
      </c>
      <c r="K203" s="60">
        <v>11701000018</v>
      </c>
      <c r="L203" s="60" t="s">
        <v>430</v>
      </c>
      <c r="M203" s="57">
        <v>-514.41</v>
      </c>
      <c r="N203" s="57">
        <v>-10902.38</v>
      </c>
      <c r="O203" s="57">
        <v>-12858.3</v>
      </c>
      <c r="Q203">
        <v>210</v>
      </c>
      <c r="R203" t="s">
        <v>900</v>
      </c>
      <c r="T203" s="57">
        <v>-514.41</v>
      </c>
      <c r="U203" s="57">
        <v>-10902.38</v>
      </c>
      <c r="V203" s="57">
        <v>-12858.3</v>
      </c>
    </row>
    <row r="204" spans="1:26" ht="15.75" customHeight="1" x14ac:dyDescent="0.3">
      <c r="A204" s="57" t="s">
        <v>194</v>
      </c>
      <c r="B204" s="57" t="s">
        <v>309</v>
      </c>
      <c r="C204" s="58" t="s">
        <v>1221</v>
      </c>
      <c r="D204" s="58" t="s">
        <v>1254</v>
      </c>
      <c r="E204" s="59" t="s">
        <v>1255</v>
      </c>
      <c r="F204" s="55" t="s">
        <v>194</v>
      </c>
      <c r="G204" s="55" t="s">
        <v>309</v>
      </c>
      <c r="H204" t="s">
        <v>357</v>
      </c>
      <c r="I204" t="s">
        <v>428</v>
      </c>
      <c r="J204" t="s">
        <v>429</v>
      </c>
      <c r="K204" s="60">
        <v>11701000030</v>
      </c>
      <c r="L204" s="60" t="s">
        <v>431</v>
      </c>
      <c r="M204" s="57">
        <v>-66377.66</v>
      </c>
      <c r="N204" s="57">
        <v>-86674.33</v>
      </c>
      <c r="O204" s="57">
        <v>-94572.77</v>
      </c>
      <c r="Q204">
        <v>210</v>
      </c>
      <c r="R204" t="s">
        <v>900</v>
      </c>
      <c r="T204" s="57">
        <v>-66377.66</v>
      </c>
      <c r="U204" s="57">
        <v>-86674.33</v>
      </c>
      <c r="V204" s="57">
        <v>-94572.77</v>
      </c>
    </row>
    <row r="205" spans="1:26" ht="15.75" customHeight="1" x14ac:dyDescent="0.3">
      <c r="A205" s="57" t="s">
        <v>194</v>
      </c>
      <c r="B205" s="57" t="s">
        <v>309</v>
      </c>
      <c r="C205" s="58" t="s">
        <v>1221</v>
      </c>
      <c r="D205" s="58" t="s">
        <v>1254</v>
      </c>
      <c r="E205" s="59" t="s">
        <v>1255</v>
      </c>
      <c r="F205" s="55" t="s">
        <v>194</v>
      </c>
      <c r="G205" s="55" t="s">
        <v>309</v>
      </c>
      <c r="H205" t="s">
        <v>357</v>
      </c>
      <c r="I205" t="s">
        <v>428</v>
      </c>
      <c r="J205" t="s">
        <v>429</v>
      </c>
      <c r="K205" s="58">
        <v>11701000061</v>
      </c>
      <c r="L205" s="58" t="s">
        <v>432</v>
      </c>
      <c r="M205" s="57">
        <v>-97161.19</v>
      </c>
      <c r="N205" s="57">
        <v>-323438.49</v>
      </c>
      <c r="O205" s="57">
        <v>-666283.76</v>
      </c>
      <c r="Q205">
        <v>210</v>
      </c>
      <c r="R205" t="s">
        <v>900</v>
      </c>
      <c r="T205" s="57">
        <v>-97161.19</v>
      </c>
      <c r="U205" s="57">
        <v>-323438.49</v>
      </c>
      <c r="V205" s="57">
        <v>-666283.76</v>
      </c>
    </row>
    <row r="206" spans="1:26" ht="15.75" customHeight="1" x14ac:dyDescent="0.3">
      <c r="A206" s="57" t="s">
        <v>194</v>
      </c>
      <c r="B206" s="57" t="s">
        <v>309</v>
      </c>
      <c r="C206" s="58" t="s">
        <v>1221</v>
      </c>
      <c r="D206" s="58" t="s">
        <v>1254</v>
      </c>
      <c r="E206" s="59" t="s">
        <v>1255</v>
      </c>
      <c r="F206" s="55" t="s">
        <v>194</v>
      </c>
      <c r="G206" s="55" t="s">
        <v>309</v>
      </c>
      <c r="H206" t="s">
        <v>357</v>
      </c>
      <c r="I206" t="s">
        <v>428</v>
      </c>
      <c r="J206" t="s">
        <v>429</v>
      </c>
      <c r="K206" s="58">
        <v>11701000054</v>
      </c>
      <c r="L206" s="58" t="s">
        <v>386</v>
      </c>
      <c r="M206" s="57">
        <v>-35231.85</v>
      </c>
      <c r="N206" s="57">
        <v>0</v>
      </c>
      <c r="O206" s="57">
        <v>-39012.370000000003</v>
      </c>
      <c r="Q206">
        <v>210</v>
      </c>
      <c r="R206" t="s">
        <v>900</v>
      </c>
      <c r="T206" s="57">
        <v>-35231.85</v>
      </c>
      <c r="U206" s="57">
        <v>0</v>
      </c>
      <c r="V206" s="57">
        <v>-39012.370000000003</v>
      </c>
    </row>
    <row r="207" spans="1:26" ht="15.75" customHeight="1" x14ac:dyDescent="0.3">
      <c r="A207" s="57" t="s">
        <v>194</v>
      </c>
      <c r="B207" s="57" t="s">
        <v>309</v>
      </c>
      <c r="C207" s="58" t="s">
        <v>1221</v>
      </c>
      <c r="D207" s="58" t="s">
        <v>1254</v>
      </c>
      <c r="E207" s="59" t="s">
        <v>1255</v>
      </c>
      <c r="F207" s="55" t="s">
        <v>194</v>
      </c>
      <c r="G207" s="55" t="s">
        <v>309</v>
      </c>
      <c r="H207" t="s">
        <v>357</v>
      </c>
      <c r="I207" t="s">
        <v>428</v>
      </c>
      <c r="J207" t="s">
        <v>429</v>
      </c>
      <c r="K207" s="58">
        <v>11701000059</v>
      </c>
      <c r="L207" s="58" t="s">
        <v>390</v>
      </c>
      <c r="M207" s="57">
        <v>-44023.66</v>
      </c>
      <c r="N207" s="57">
        <v>0</v>
      </c>
      <c r="O207" s="57">
        <v>-55723.34</v>
      </c>
      <c r="Q207">
        <v>210</v>
      </c>
      <c r="R207" t="s">
        <v>900</v>
      </c>
      <c r="T207" s="57">
        <v>-44023.66</v>
      </c>
      <c r="U207" s="57">
        <v>0</v>
      </c>
      <c r="V207" s="57">
        <v>-55723.34</v>
      </c>
    </row>
    <row r="208" spans="1:26" ht="15.75" customHeight="1" x14ac:dyDescent="0.3">
      <c r="A208" s="57" t="s">
        <v>194</v>
      </c>
      <c r="B208" s="57" t="s">
        <v>309</v>
      </c>
      <c r="C208" s="58" t="s">
        <v>1221</v>
      </c>
      <c r="D208" s="58" t="s">
        <v>1254</v>
      </c>
      <c r="E208" s="59" t="s">
        <v>1255</v>
      </c>
      <c r="F208" s="55" t="s">
        <v>194</v>
      </c>
      <c r="G208" s="55" t="s">
        <v>309</v>
      </c>
      <c r="H208" t="s">
        <v>357</v>
      </c>
      <c r="I208" t="s">
        <v>428</v>
      </c>
      <c r="J208" t="s">
        <v>429</v>
      </c>
      <c r="K208" s="58">
        <v>11701000060</v>
      </c>
      <c r="L208" s="58" t="s">
        <v>391</v>
      </c>
      <c r="M208" s="57">
        <v>0</v>
      </c>
      <c r="N208" s="57">
        <v>0</v>
      </c>
      <c r="O208" s="57">
        <v>-23519.69</v>
      </c>
      <c r="Q208">
        <v>210</v>
      </c>
      <c r="R208" t="s">
        <v>900</v>
      </c>
      <c r="T208" s="57">
        <v>0</v>
      </c>
      <c r="U208" s="57">
        <v>0</v>
      </c>
      <c r="V208" s="57">
        <v>-23519.69</v>
      </c>
    </row>
    <row r="209" spans="1:22" ht="15.75" customHeight="1" x14ac:dyDescent="0.3">
      <c r="A209" s="57" t="s">
        <v>194</v>
      </c>
      <c r="B209" s="57" t="s">
        <v>309</v>
      </c>
      <c r="C209" s="58" t="s">
        <v>1221</v>
      </c>
      <c r="D209" s="58" t="s">
        <v>1254</v>
      </c>
      <c r="E209" s="59" t="s">
        <v>1255</v>
      </c>
      <c r="F209" s="55" t="s">
        <v>194</v>
      </c>
      <c r="G209" s="55" t="s">
        <v>309</v>
      </c>
      <c r="H209" t="s">
        <v>357</v>
      </c>
      <c r="I209" t="s">
        <v>428</v>
      </c>
      <c r="J209" t="s">
        <v>429</v>
      </c>
      <c r="K209" s="58">
        <v>11701000063</v>
      </c>
      <c r="L209" s="58" t="s">
        <v>392</v>
      </c>
      <c r="M209" s="57">
        <v>0</v>
      </c>
      <c r="N209" s="57">
        <v>0</v>
      </c>
      <c r="O209" s="57">
        <v>-33551.269999999997</v>
      </c>
      <c r="Q209">
        <v>210</v>
      </c>
      <c r="R209" t="s">
        <v>900</v>
      </c>
      <c r="T209" s="57">
        <v>0</v>
      </c>
      <c r="U209" s="57">
        <v>0</v>
      </c>
      <c r="V209" s="57">
        <v>-33551.269999999997</v>
      </c>
    </row>
    <row r="210" spans="1:22" ht="15.75" customHeight="1" x14ac:dyDescent="0.3">
      <c r="A210" s="57" t="s">
        <v>194</v>
      </c>
      <c r="B210" s="57" t="s">
        <v>309</v>
      </c>
      <c r="C210" s="58" t="s">
        <v>1221</v>
      </c>
      <c r="D210" s="58" t="s">
        <v>1254</v>
      </c>
      <c r="E210" s="59" t="s">
        <v>1255</v>
      </c>
      <c r="F210" s="55" t="s">
        <v>194</v>
      </c>
      <c r="G210" s="55" t="s">
        <v>309</v>
      </c>
      <c r="H210" t="s">
        <v>357</v>
      </c>
      <c r="I210" t="s">
        <v>428</v>
      </c>
      <c r="J210" t="s">
        <v>429</v>
      </c>
      <c r="K210" s="58">
        <v>11701000064</v>
      </c>
      <c r="L210" s="58" t="s">
        <v>433</v>
      </c>
      <c r="M210" s="57">
        <v>0</v>
      </c>
      <c r="N210" s="57">
        <v>0</v>
      </c>
      <c r="O210" s="57">
        <v>-15847.25</v>
      </c>
      <c r="Q210">
        <v>210</v>
      </c>
      <c r="R210" t="s">
        <v>900</v>
      </c>
      <c r="T210" s="57">
        <v>0</v>
      </c>
      <c r="U210" s="57">
        <v>0</v>
      </c>
      <c r="V210" s="57">
        <v>-15847.25</v>
      </c>
    </row>
    <row r="211" spans="1:22" ht="15.75" customHeight="1" x14ac:dyDescent="0.3">
      <c r="A211" s="57" t="s">
        <v>194</v>
      </c>
      <c r="B211" s="57" t="s">
        <v>309</v>
      </c>
      <c r="C211" s="58" t="s">
        <v>1221</v>
      </c>
      <c r="D211" s="58" t="s">
        <v>1254</v>
      </c>
      <c r="E211" s="59" t="s">
        <v>1255</v>
      </c>
      <c r="F211" s="55" t="s">
        <v>194</v>
      </c>
      <c r="G211" s="55" t="s">
        <v>309</v>
      </c>
      <c r="H211" t="s">
        <v>357</v>
      </c>
      <c r="I211" t="s">
        <v>428</v>
      </c>
      <c r="J211" t="s">
        <v>429</v>
      </c>
      <c r="K211" s="58">
        <v>11701000066</v>
      </c>
      <c r="L211" s="58" t="s">
        <v>434</v>
      </c>
      <c r="M211" s="57">
        <v>0</v>
      </c>
      <c r="N211" s="57">
        <v>0</v>
      </c>
      <c r="O211" s="57">
        <v>-36192.01</v>
      </c>
      <c r="Q211">
        <v>210</v>
      </c>
      <c r="R211" t="s">
        <v>900</v>
      </c>
      <c r="T211" s="57">
        <v>0</v>
      </c>
      <c r="U211" s="57">
        <v>0</v>
      </c>
      <c r="V211" s="57">
        <v>-36192.01</v>
      </c>
    </row>
    <row r="212" spans="1:22" ht="15.75" customHeight="1" x14ac:dyDescent="0.3">
      <c r="A212" s="57" t="s">
        <v>194</v>
      </c>
      <c r="B212" s="57" t="s">
        <v>309</v>
      </c>
      <c r="C212" s="58" t="s">
        <v>1221</v>
      </c>
      <c r="D212" s="58" t="s">
        <v>1254</v>
      </c>
      <c r="E212" s="59" t="s">
        <v>1255</v>
      </c>
      <c r="F212" s="55" t="s">
        <v>194</v>
      </c>
      <c r="G212" s="55" t="s">
        <v>309</v>
      </c>
      <c r="H212" t="s">
        <v>357</v>
      </c>
      <c r="I212" t="s">
        <v>428</v>
      </c>
      <c r="J212" t="s">
        <v>429</v>
      </c>
      <c r="K212" s="58">
        <v>22205000008</v>
      </c>
      <c r="L212" s="58" t="s">
        <v>435</v>
      </c>
      <c r="M212" s="57">
        <v>-461836.61</v>
      </c>
      <c r="N212" s="57">
        <v>-385016.58</v>
      </c>
      <c r="O212" s="57">
        <v>-273885.17</v>
      </c>
      <c r="Q212">
        <v>210</v>
      </c>
      <c r="R212" t="s">
        <v>900</v>
      </c>
      <c r="T212" s="57">
        <v>-461836.61</v>
      </c>
      <c r="U212" s="57">
        <v>-385016.58</v>
      </c>
      <c r="V212" s="57">
        <v>-273885.17</v>
      </c>
    </row>
    <row r="213" spans="1:22" ht="15.75" customHeight="1" x14ac:dyDescent="0.3">
      <c r="A213" s="57" t="s">
        <v>194</v>
      </c>
      <c r="B213" s="57" t="s">
        <v>309</v>
      </c>
      <c r="C213" s="58" t="s">
        <v>1221</v>
      </c>
      <c r="D213" s="58" t="s">
        <v>1254</v>
      </c>
      <c r="E213" s="59" t="s">
        <v>1255</v>
      </c>
      <c r="F213" s="55" t="s">
        <v>194</v>
      </c>
      <c r="G213" s="55" t="s">
        <v>309</v>
      </c>
      <c r="H213" t="s">
        <v>357</v>
      </c>
      <c r="I213" t="s">
        <v>428</v>
      </c>
      <c r="J213" t="s">
        <v>429</v>
      </c>
      <c r="K213" s="58">
        <v>11901000003</v>
      </c>
      <c r="L213" s="58" t="s">
        <v>436</v>
      </c>
      <c r="M213" s="57">
        <v>0</v>
      </c>
      <c r="N213" s="57">
        <v>-39703.410000000003</v>
      </c>
      <c r="O213" s="57">
        <v>0</v>
      </c>
      <c r="Q213">
        <v>210</v>
      </c>
      <c r="R213" t="s">
        <v>900</v>
      </c>
      <c r="T213" s="57">
        <v>0</v>
      </c>
      <c r="U213" s="57">
        <v>-39703.410000000003</v>
      </c>
      <c r="V213" s="57">
        <v>0</v>
      </c>
    </row>
    <row r="214" spans="1:22" ht="15.75" customHeight="1" x14ac:dyDescent="0.3">
      <c r="A214" s="57" t="s">
        <v>194</v>
      </c>
      <c r="B214" s="57" t="s">
        <v>309</v>
      </c>
      <c r="C214" s="58" t="s">
        <v>1221</v>
      </c>
      <c r="D214" s="58" t="s">
        <v>1254</v>
      </c>
      <c r="E214" s="59" t="s">
        <v>1255</v>
      </c>
      <c r="F214" s="55" t="s">
        <v>194</v>
      </c>
      <c r="G214" s="55" t="s">
        <v>309</v>
      </c>
      <c r="H214" t="s">
        <v>357</v>
      </c>
      <c r="I214" t="s">
        <v>428</v>
      </c>
      <c r="J214" t="s">
        <v>429</v>
      </c>
      <c r="K214" s="58">
        <v>11901000008</v>
      </c>
      <c r="L214" s="58" t="s">
        <v>437</v>
      </c>
      <c r="M214" s="57">
        <v>0</v>
      </c>
      <c r="N214" s="57">
        <v>-67838.14</v>
      </c>
      <c r="O214" s="57">
        <v>0</v>
      </c>
      <c r="Q214">
        <v>210</v>
      </c>
      <c r="R214" t="s">
        <v>900</v>
      </c>
      <c r="T214" s="57">
        <v>0</v>
      </c>
      <c r="U214" s="57">
        <v>-67838.14</v>
      </c>
      <c r="V214" s="57">
        <v>0</v>
      </c>
    </row>
    <row r="215" spans="1:22" ht="15.75" customHeight="1" x14ac:dyDescent="0.3">
      <c r="A215" s="57" t="s">
        <v>194</v>
      </c>
      <c r="B215" s="57" t="s">
        <v>309</v>
      </c>
      <c r="C215" s="58" t="s">
        <v>1221</v>
      </c>
      <c r="D215" s="58" t="s">
        <v>1254</v>
      </c>
      <c r="E215" s="59" t="s">
        <v>1255</v>
      </c>
      <c r="F215" s="55" t="s">
        <v>194</v>
      </c>
      <c r="G215" s="55" t="s">
        <v>309</v>
      </c>
      <c r="H215" t="s">
        <v>357</v>
      </c>
      <c r="I215" t="s">
        <v>428</v>
      </c>
      <c r="J215" t="s">
        <v>429</v>
      </c>
      <c r="K215" s="58">
        <v>11901000010</v>
      </c>
      <c r="L215" s="58" t="s">
        <v>438</v>
      </c>
      <c r="M215" s="57">
        <v>868.27</v>
      </c>
      <c r="N215" s="57">
        <v>-14567.83</v>
      </c>
      <c r="O215" s="57">
        <v>0</v>
      </c>
      <c r="Q215">
        <v>210</v>
      </c>
      <c r="R215" t="s">
        <v>900</v>
      </c>
      <c r="T215" s="57">
        <v>868.27</v>
      </c>
      <c r="U215" s="57">
        <v>-14567.83</v>
      </c>
      <c r="V215" s="57">
        <v>0</v>
      </c>
    </row>
    <row r="216" spans="1:22" ht="15.75" customHeight="1" x14ac:dyDescent="0.3">
      <c r="A216" s="57" t="s">
        <v>194</v>
      </c>
      <c r="B216" s="57" t="s">
        <v>309</v>
      </c>
      <c r="C216" s="58" t="s">
        <v>1221</v>
      </c>
      <c r="D216" s="58" t="s">
        <v>1254</v>
      </c>
      <c r="E216" s="59" t="s">
        <v>1255</v>
      </c>
      <c r="F216" s="55" t="s">
        <v>194</v>
      </c>
      <c r="G216" s="55" t="s">
        <v>309</v>
      </c>
      <c r="H216" t="s">
        <v>357</v>
      </c>
      <c r="I216" t="s">
        <v>428</v>
      </c>
      <c r="J216" t="s">
        <v>429</v>
      </c>
      <c r="K216" s="58">
        <v>22205000007</v>
      </c>
      <c r="L216" s="58" t="s">
        <v>439</v>
      </c>
      <c r="M216" s="57">
        <v>-666158.46</v>
      </c>
      <c r="N216" s="57">
        <v>-633000.36</v>
      </c>
      <c r="O216" s="57">
        <v>-606974.76</v>
      </c>
      <c r="Q216">
        <v>210</v>
      </c>
      <c r="R216" t="s">
        <v>900</v>
      </c>
      <c r="T216" s="57">
        <v>-666158.46</v>
      </c>
      <c r="U216" s="57">
        <v>-633000.36</v>
      </c>
      <c r="V216" s="57">
        <v>-606974.76</v>
      </c>
    </row>
    <row r="217" spans="1:22" ht="15.75" customHeight="1" x14ac:dyDescent="0.3">
      <c r="A217" s="57" t="s">
        <v>194</v>
      </c>
      <c r="B217" s="57" t="s">
        <v>309</v>
      </c>
      <c r="C217" s="58" t="s">
        <v>1221</v>
      </c>
      <c r="D217" s="58" t="s">
        <v>1254</v>
      </c>
      <c r="E217" s="59" t="s">
        <v>1255</v>
      </c>
      <c r="F217" s="55" t="s">
        <v>194</v>
      </c>
      <c r="G217" s="55" t="s">
        <v>309</v>
      </c>
      <c r="H217" t="s">
        <v>357</v>
      </c>
      <c r="I217" t="s">
        <v>428</v>
      </c>
      <c r="J217" t="s">
        <v>429</v>
      </c>
      <c r="K217" s="58">
        <v>22205000009</v>
      </c>
      <c r="L217" s="58" t="s">
        <v>440</v>
      </c>
      <c r="M217" s="57">
        <v>-1945423.36</v>
      </c>
      <c r="N217" s="57">
        <v>-1960006.85</v>
      </c>
      <c r="O217" s="57">
        <v>-1753454</v>
      </c>
      <c r="Q217">
        <v>210</v>
      </c>
      <c r="R217" t="s">
        <v>900</v>
      </c>
      <c r="T217" s="57">
        <v>-1945423.36</v>
      </c>
      <c r="U217" s="57">
        <v>-1960006.85</v>
      </c>
      <c r="V217" s="57">
        <v>-1753454</v>
      </c>
    </row>
    <row r="218" spans="1:22" ht="15.75" customHeight="1" x14ac:dyDescent="0.3">
      <c r="A218" s="57" t="s">
        <v>194</v>
      </c>
      <c r="B218" s="57" t="s">
        <v>309</v>
      </c>
      <c r="C218" s="58" t="s">
        <v>1221</v>
      </c>
      <c r="D218" s="58" t="s">
        <v>1254</v>
      </c>
      <c r="E218" s="59" t="s">
        <v>1255</v>
      </c>
      <c r="F218" s="55" t="s">
        <v>194</v>
      </c>
      <c r="G218" s="55" t="s">
        <v>309</v>
      </c>
      <c r="H218" t="s">
        <v>357</v>
      </c>
      <c r="I218" t="s">
        <v>428</v>
      </c>
      <c r="J218" t="s">
        <v>429</v>
      </c>
      <c r="K218" s="60">
        <v>22205000011</v>
      </c>
      <c r="L218" s="60" t="s">
        <v>441</v>
      </c>
      <c r="M218" s="57">
        <v>-424664.6</v>
      </c>
      <c r="N218" s="57">
        <v>-282641.99</v>
      </c>
      <c r="O218" s="57">
        <v>0</v>
      </c>
      <c r="Q218">
        <v>210</v>
      </c>
      <c r="R218" t="s">
        <v>900</v>
      </c>
      <c r="T218" s="57">
        <v>-424664.6</v>
      </c>
      <c r="U218" s="57">
        <v>-282641.99</v>
      </c>
      <c r="V218" s="57">
        <v>0</v>
      </c>
    </row>
    <row r="219" spans="1:22" ht="15.75" customHeight="1" x14ac:dyDescent="0.3">
      <c r="A219" s="57" t="s">
        <v>194</v>
      </c>
      <c r="B219" s="57" t="s">
        <v>309</v>
      </c>
      <c r="C219" s="58" t="s">
        <v>1221</v>
      </c>
      <c r="D219" s="58" t="s">
        <v>1254</v>
      </c>
      <c r="E219" s="59" t="s">
        <v>1255</v>
      </c>
      <c r="F219" s="55" t="s">
        <v>194</v>
      </c>
      <c r="G219" s="55" t="s">
        <v>309</v>
      </c>
      <c r="H219" t="s">
        <v>357</v>
      </c>
      <c r="I219" t="s">
        <v>428</v>
      </c>
      <c r="J219" t="s">
        <v>429</v>
      </c>
      <c r="K219" s="60">
        <v>22205000013</v>
      </c>
      <c r="L219" s="60" t="s">
        <v>442</v>
      </c>
      <c r="M219" s="57">
        <v>-191112.46</v>
      </c>
      <c r="N219" s="57">
        <v>-177090.31</v>
      </c>
      <c r="O219" s="57">
        <v>-231546.46</v>
      </c>
      <c r="Q219">
        <v>210</v>
      </c>
      <c r="R219" t="s">
        <v>900</v>
      </c>
      <c r="T219" s="57">
        <v>-191112.46</v>
      </c>
      <c r="U219" s="57">
        <v>-177090.31</v>
      </c>
      <c r="V219" s="57">
        <v>-231546.46</v>
      </c>
    </row>
    <row r="220" spans="1:22" ht="15.75" customHeight="1" x14ac:dyDescent="0.3">
      <c r="A220" s="57" t="s">
        <v>194</v>
      </c>
      <c r="B220" s="57" t="s">
        <v>309</v>
      </c>
      <c r="C220" s="58" t="s">
        <v>1221</v>
      </c>
      <c r="D220" s="58" t="s">
        <v>1254</v>
      </c>
      <c r="E220" s="59" t="s">
        <v>1255</v>
      </c>
      <c r="F220" s="55" t="s">
        <v>194</v>
      </c>
      <c r="G220" s="55" t="s">
        <v>309</v>
      </c>
      <c r="H220" t="s">
        <v>357</v>
      </c>
      <c r="I220" t="s">
        <v>428</v>
      </c>
      <c r="J220" t="s">
        <v>429</v>
      </c>
      <c r="K220" s="60">
        <v>22205000014</v>
      </c>
      <c r="L220" s="60" t="s">
        <v>443</v>
      </c>
      <c r="M220" s="57">
        <v>-198159.63</v>
      </c>
      <c r="N220" s="57">
        <v>-195578.05</v>
      </c>
      <c r="O220" s="57">
        <v>-193494.7</v>
      </c>
      <c r="Q220">
        <v>210</v>
      </c>
      <c r="R220" t="s">
        <v>900</v>
      </c>
      <c r="T220" s="57">
        <v>-198159.63</v>
      </c>
      <c r="U220" s="57">
        <v>-195578.05</v>
      </c>
      <c r="V220" s="57">
        <v>-193494.7</v>
      </c>
    </row>
    <row r="221" spans="1:22" ht="15.75" customHeight="1" x14ac:dyDescent="0.3">
      <c r="A221" s="57" t="s">
        <v>194</v>
      </c>
      <c r="B221" s="57" t="s">
        <v>309</v>
      </c>
      <c r="C221" s="58" t="s">
        <v>1221</v>
      </c>
      <c r="D221" s="58" t="s">
        <v>1254</v>
      </c>
      <c r="E221" s="59" t="s">
        <v>1255</v>
      </c>
      <c r="F221" s="55" t="s">
        <v>194</v>
      </c>
      <c r="G221" s="55" t="s">
        <v>309</v>
      </c>
      <c r="H221" t="s">
        <v>357</v>
      </c>
      <c r="I221" t="s">
        <v>428</v>
      </c>
      <c r="J221" t="s">
        <v>429</v>
      </c>
      <c r="K221" s="60">
        <v>22205000016</v>
      </c>
      <c r="L221" s="60" t="s">
        <v>444</v>
      </c>
      <c r="M221" s="57">
        <v>-362702.48</v>
      </c>
      <c r="N221" s="57">
        <v>-455626.42</v>
      </c>
      <c r="O221" s="57">
        <v>-525211.79</v>
      </c>
      <c r="Q221">
        <v>210</v>
      </c>
      <c r="R221" t="s">
        <v>900</v>
      </c>
      <c r="T221" s="57">
        <v>-362702.48</v>
      </c>
      <c r="U221" s="57">
        <v>-455626.42</v>
      </c>
      <c r="V221" s="57">
        <v>-525211.79</v>
      </c>
    </row>
    <row r="222" spans="1:22" ht="15.75" customHeight="1" x14ac:dyDescent="0.3">
      <c r="A222" s="57" t="s">
        <v>194</v>
      </c>
      <c r="B222" s="57" t="s">
        <v>309</v>
      </c>
      <c r="C222" s="58" t="s">
        <v>1221</v>
      </c>
      <c r="D222" s="58" t="s">
        <v>1254</v>
      </c>
      <c r="E222" s="59" t="s">
        <v>1255</v>
      </c>
      <c r="F222" s="55" t="s">
        <v>194</v>
      </c>
      <c r="G222" s="55" t="s">
        <v>309</v>
      </c>
      <c r="H222" t="s">
        <v>357</v>
      </c>
      <c r="I222" t="s">
        <v>428</v>
      </c>
      <c r="J222" t="s">
        <v>429</v>
      </c>
      <c r="K222" s="60">
        <v>22205000019</v>
      </c>
      <c r="L222" s="60" t="s">
        <v>445</v>
      </c>
      <c r="M222" s="57">
        <v>-1387237.03</v>
      </c>
      <c r="N222" s="57">
        <v>-928271.13</v>
      </c>
      <c r="O222" s="57">
        <v>-978139.94</v>
      </c>
      <c r="Q222">
        <v>210</v>
      </c>
      <c r="R222" t="s">
        <v>900</v>
      </c>
      <c r="T222" s="57">
        <v>-1387237.03</v>
      </c>
      <c r="U222" s="57">
        <v>-928271.13</v>
      </c>
      <c r="V222" s="57">
        <v>-978139.94</v>
      </c>
    </row>
    <row r="223" spans="1:22" ht="15.75" customHeight="1" x14ac:dyDescent="0.3">
      <c r="A223" s="57" t="s">
        <v>194</v>
      </c>
      <c r="B223" s="57" t="s">
        <v>309</v>
      </c>
      <c r="C223" s="58" t="s">
        <v>1221</v>
      </c>
      <c r="D223" s="58" t="s">
        <v>1254</v>
      </c>
      <c r="E223" s="59" t="s">
        <v>1255</v>
      </c>
      <c r="F223" s="55" t="s">
        <v>194</v>
      </c>
      <c r="G223" s="55" t="s">
        <v>309</v>
      </c>
      <c r="H223" t="s">
        <v>357</v>
      </c>
      <c r="I223" t="s">
        <v>428</v>
      </c>
      <c r="J223" t="s">
        <v>429</v>
      </c>
      <c r="K223" s="60">
        <v>22205000020</v>
      </c>
      <c r="L223" s="60" t="s">
        <v>446</v>
      </c>
      <c r="M223" s="57">
        <v>0</v>
      </c>
      <c r="N223" s="57">
        <v>-292142.44</v>
      </c>
      <c r="O223" s="57">
        <v>-552066.98</v>
      </c>
      <c r="Q223">
        <v>210</v>
      </c>
      <c r="R223" t="s">
        <v>900</v>
      </c>
      <c r="T223" s="57">
        <v>0</v>
      </c>
      <c r="U223" s="57">
        <v>-292142.44</v>
      </c>
      <c r="V223" s="57">
        <v>-552066.98</v>
      </c>
    </row>
    <row r="224" spans="1:22" ht="15.75" customHeight="1" x14ac:dyDescent="0.3">
      <c r="A224" s="57" t="s">
        <v>194</v>
      </c>
      <c r="B224" s="57" t="s">
        <v>309</v>
      </c>
      <c r="C224" s="58" t="s">
        <v>1221</v>
      </c>
      <c r="D224" s="58" t="s">
        <v>1254</v>
      </c>
      <c r="E224" s="59" t="s">
        <v>1255</v>
      </c>
      <c r="F224" s="55" t="s">
        <v>194</v>
      </c>
      <c r="G224" s="55" t="s">
        <v>309</v>
      </c>
      <c r="H224" t="s">
        <v>357</v>
      </c>
      <c r="I224" t="s">
        <v>428</v>
      </c>
      <c r="J224" t="s">
        <v>429</v>
      </c>
      <c r="K224" s="60">
        <v>22205000027</v>
      </c>
      <c r="L224" s="60" t="s">
        <v>447</v>
      </c>
      <c r="M224" s="57">
        <v>-402996.07</v>
      </c>
      <c r="N224" s="57">
        <v>-297968</v>
      </c>
      <c r="O224" s="57">
        <v>-360873</v>
      </c>
      <c r="Q224">
        <v>210</v>
      </c>
      <c r="R224" t="s">
        <v>900</v>
      </c>
      <c r="T224" s="57">
        <v>-402996.07</v>
      </c>
      <c r="U224" s="57">
        <v>-297968</v>
      </c>
      <c r="V224" s="57">
        <v>-360873</v>
      </c>
    </row>
    <row r="225" spans="1:23" ht="15.75" customHeight="1" x14ac:dyDescent="0.3">
      <c r="A225" s="57" t="s">
        <v>194</v>
      </c>
      <c r="B225" s="57" t="s">
        <v>309</v>
      </c>
      <c r="C225" s="58" t="s">
        <v>1221</v>
      </c>
      <c r="D225" s="58" t="s">
        <v>1254</v>
      </c>
      <c r="E225" s="59" t="s">
        <v>1255</v>
      </c>
      <c r="F225" s="55" t="s">
        <v>194</v>
      </c>
      <c r="G225" s="55" t="s">
        <v>309</v>
      </c>
      <c r="H225" t="s">
        <v>357</v>
      </c>
      <c r="I225" t="s">
        <v>428</v>
      </c>
      <c r="J225" t="s">
        <v>429</v>
      </c>
      <c r="K225" s="60">
        <v>22205000030</v>
      </c>
      <c r="L225" s="60" t="s">
        <v>448</v>
      </c>
      <c r="M225" s="57">
        <v>-490329.09</v>
      </c>
      <c r="N225" s="57">
        <v>-496214.6</v>
      </c>
      <c r="O225" s="57">
        <v>-492859.3</v>
      </c>
      <c r="Q225">
        <v>210</v>
      </c>
      <c r="R225" t="s">
        <v>900</v>
      </c>
      <c r="T225" s="57">
        <v>-490329.09</v>
      </c>
      <c r="U225" s="57">
        <v>-496214.6</v>
      </c>
      <c r="V225" s="57">
        <v>-492859.3</v>
      </c>
    </row>
    <row r="226" spans="1:23" ht="15.75" customHeight="1" x14ac:dyDescent="0.3">
      <c r="A226" s="57" t="s">
        <v>194</v>
      </c>
      <c r="B226" s="57" t="s">
        <v>309</v>
      </c>
      <c r="C226" s="58" t="s">
        <v>1221</v>
      </c>
      <c r="D226" s="58" t="s">
        <v>1254</v>
      </c>
      <c r="E226" s="59" t="s">
        <v>1255</v>
      </c>
      <c r="F226" s="55" t="s">
        <v>194</v>
      </c>
      <c r="G226" s="55" t="s">
        <v>309</v>
      </c>
      <c r="H226" t="s">
        <v>357</v>
      </c>
      <c r="I226" t="s">
        <v>428</v>
      </c>
      <c r="J226" t="s">
        <v>429</v>
      </c>
      <c r="K226" s="60">
        <v>22205000032</v>
      </c>
      <c r="L226" s="60" t="s">
        <v>449</v>
      </c>
      <c r="M226" s="57">
        <v>-144300.09</v>
      </c>
      <c r="N226" s="57">
        <v>-157870.28</v>
      </c>
      <c r="O226" s="57">
        <v>-258352.03</v>
      </c>
      <c r="Q226">
        <v>210</v>
      </c>
      <c r="R226" t="s">
        <v>900</v>
      </c>
      <c r="T226" s="57">
        <v>-144300.09</v>
      </c>
      <c r="U226" s="57">
        <v>-157870.28</v>
      </c>
      <c r="V226" s="57">
        <v>-258352.03</v>
      </c>
    </row>
    <row r="227" spans="1:23" ht="15.75" customHeight="1" x14ac:dyDescent="0.3">
      <c r="A227" s="57" t="s">
        <v>194</v>
      </c>
      <c r="B227" s="57" t="s">
        <v>309</v>
      </c>
      <c r="C227" s="58" t="s">
        <v>1221</v>
      </c>
      <c r="D227" s="58" t="s">
        <v>1254</v>
      </c>
      <c r="E227" s="59" t="s">
        <v>1255</v>
      </c>
      <c r="F227" s="55" t="s">
        <v>194</v>
      </c>
      <c r="G227" s="55" t="s">
        <v>309</v>
      </c>
      <c r="H227" t="s">
        <v>357</v>
      </c>
      <c r="I227" t="s">
        <v>428</v>
      </c>
      <c r="J227" t="s">
        <v>429</v>
      </c>
      <c r="K227" s="60">
        <v>22205000034</v>
      </c>
      <c r="L227" s="60" t="s">
        <v>450</v>
      </c>
      <c r="M227" s="57">
        <v>0</v>
      </c>
      <c r="N227" s="57">
        <v>-96177.53</v>
      </c>
      <c r="O227" s="57">
        <v>-146222.54999999999</v>
      </c>
      <c r="Q227">
        <v>210</v>
      </c>
      <c r="R227" t="s">
        <v>900</v>
      </c>
      <c r="T227" s="57">
        <v>0</v>
      </c>
      <c r="U227" s="57">
        <v>-96177.53</v>
      </c>
      <c r="V227" s="57">
        <v>-146222.54999999999</v>
      </c>
    </row>
    <row r="228" spans="1:23" ht="15.75" customHeight="1" x14ac:dyDescent="0.3">
      <c r="A228" s="57" t="s">
        <v>194</v>
      </c>
      <c r="B228" s="57" t="s">
        <v>309</v>
      </c>
      <c r="C228" s="58" t="s">
        <v>1221</v>
      </c>
      <c r="D228" s="58" t="s">
        <v>1254</v>
      </c>
      <c r="E228" s="59" t="s">
        <v>1255</v>
      </c>
      <c r="F228" s="55" t="s">
        <v>194</v>
      </c>
      <c r="G228" s="55" t="s">
        <v>309</v>
      </c>
      <c r="H228" t="s">
        <v>357</v>
      </c>
      <c r="I228" t="s">
        <v>428</v>
      </c>
      <c r="J228" t="s">
        <v>429</v>
      </c>
      <c r="K228" s="60">
        <v>22205000029</v>
      </c>
      <c r="L228" s="60" t="s">
        <v>451</v>
      </c>
      <c r="M228" s="57">
        <v>0</v>
      </c>
      <c r="N228" s="57">
        <v>-12500</v>
      </c>
      <c r="O228" s="57">
        <v>-300000</v>
      </c>
      <c r="Q228">
        <v>210</v>
      </c>
      <c r="R228" t="s">
        <v>900</v>
      </c>
      <c r="T228" s="57">
        <v>0</v>
      </c>
      <c r="U228" s="57">
        <v>-12500</v>
      </c>
      <c r="V228" s="57">
        <v>-300000</v>
      </c>
    </row>
    <row r="229" spans="1:23" ht="15.75" customHeight="1" x14ac:dyDescent="0.3">
      <c r="A229" s="57" t="s">
        <v>194</v>
      </c>
      <c r="B229" s="57" t="s">
        <v>309</v>
      </c>
      <c r="C229" s="58" t="s">
        <v>1221</v>
      </c>
      <c r="D229" s="58" t="s">
        <v>1254</v>
      </c>
      <c r="E229" s="59" t="s">
        <v>1255</v>
      </c>
      <c r="F229" s="55" t="s">
        <v>194</v>
      </c>
      <c r="G229" s="55" t="s">
        <v>309</v>
      </c>
      <c r="H229" t="s">
        <v>357</v>
      </c>
      <c r="I229" t="s">
        <v>428</v>
      </c>
      <c r="J229" t="s">
        <v>429</v>
      </c>
      <c r="K229" s="60">
        <v>22205000031</v>
      </c>
      <c r="L229" s="60" t="s">
        <v>452</v>
      </c>
      <c r="M229" s="57">
        <v>-350000</v>
      </c>
      <c r="N229" s="57">
        <v>-300000</v>
      </c>
      <c r="O229" s="57">
        <v>-300000</v>
      </c>
      <c r="Q229">
        <v>210</v>
      </c>
      <c r="R229" t="s">
        <v>900</v>
      </c>
      <c r="T229" s="57">
        <v>-350000</v>
      </c>
      <c r="U229" s="57">
        <v>-300000</v>
      </c>
      <c r="V229" s="57">
        <v>-300000</v>
      </c>
    </row>
    <row r="230" spans="1:23" ht="15.75" customHeight="1" x14ac:dyDescent="0.3">
      <c r="A230" s="57" t="s">
        <v>194</v>
      </c>
      <c r="B230" s="57" t="s">
        <v>309</v>
      </c>
      <c r="C230" s="58" t="s">
        <v>1221</v>
      </c>
      <c r="D230" s="58" t="s">
        <v>1254</v>
      </c>
      <c r="E230" s="59" t="s">
        <v>1255</v>
      </c>
      <c r="F230" s="55" t="s">
        <v>194</v>
      </c>
      <c r="G230" s="55" t="s">
        <v>309</v>
      </c>
      <c r="H230" t="s">
        <v>357</v>
      </c>
      <c r="I230" t="s">
        <v>428</v>
      </c>
      <c r="J230" t="s">
        <v>429</v>
      </c>
      <c r="K230" s="60">
        <v>22205000033</v>
      </c>
      <c r="L230" s="60" t="s">
        <v>453</v>
      </c>
      <c r="M230" s="57">
        <v>0</v>
      </c>
      <c r="N230" s="57">
        <v>-333333.34000000003</v>
      </c>
      <c r="O230" s="57">
        <v>0</v>
      </c>
      <c r="Q230">
        <v>210</v>
      </c>
      <c r="R230" t="s">
        <v>900</v>
      </c>
      <c r="T230" s="57">
        <v>0</v>
      </c>
      <c r="U230" s="57">
        <v>-333333.34000000003</v>
      </c>
      <c r="V230" s="57">
        <v>0</v>
      </c>
    </row>
    <row r="231" spans="1:23" ht="15.75" customHeight="1" x14ac:dyDescent="0.3">
      <c r="A231" s="57" t="s">
        <v>194</v>
      </c>
      <c r="B231" s="57" t="s">
        <v>309</v>
      </c>
      <c r="C231" s="58" t="s">
        <v>1221</v>
      </c>
      <c r="D231" s="58" t="s">
        <v>1254</v>
      </c>
      <c r="E231" s="59" t="s">
        <v>1255</v>
      </c>
      <c r="F231" s="55" t="s">
        <v>194</v>
      </c>
      <c r="G231" s="55" t="s">
        <v>309</v>
      </c>
      <c r="H231" t="s">
        <v>357</v>
      </c>
      <c r="I231" t="s">
        <v>428</v>
      </c>
      <c r="J231" t="s">
        <v>429</v>
      </c>
      <c r="K231" s="60">
        <v>22205000035</v>
      </c>
      <c r="L231" s="60" t="s">
        <v>454</v>
      </c>
      <c r="M231" s="57">
        <v>0</v>
      </c>
      <c r="N231" s="57">
        <v>-100000</v>
      </c>
      <c r="O231" s="57">
        <v>0</v>
      </c>
      <c r="Q231">
        <v>210</v>
      </c>
      <c r="R231" t="s">
        <v>900</v>
      </c>
      <c r="T231" s="57">
        <v>0</v>
      </c>
      <c r="U231" s="57">
        <v>-100000</v>
      </c>
      <c r="V231" s="57">
        <v>0</v>
      </c>
    </row>
    <row r="232" spans="1:23" ht="15.75" customHeight="1" x14ac:dyDescent="0.3">
      <c r="A232" s="57" t="s">
        <v>194</v>
      </c>
      <c r="B232" s="57" t="s">
        <v>309</v>
      </c>
      <c r="C232" s="58" t="s">
        <v>1221</v>
      </c>
      <c r="D232" s="58" t="s">
        <v>1254</v>
      </c>
      <c r="E232" s="59" t="s">
        <v>1255</v>
      </c>
      <c r="F232" s="55" t="s">
        <v>194</v>
      </c>
      <c r="G232" s="55" t="s">
        <v>309</v>
      </c>
      <c r="H232" t="s">
        <v>357</v>
      </c>
      <c r="I232" t="s">
        <v>428</v>
      </c>
      <c r="J232" t="s">
        <v>429</v>
      </c>
      <c r="K232" s="58">
        <v>11901000011</v>
      </c>
      <c r="L232" s="58" t="s">
        <v>393</v>
      </c>
      <c r="M232" s="57">
        <v>0</v>
      </c>
      <c r="N232" s="57">
        <v>0</v>
      </c>
      <c r="O232" s="57">
        <v>-60242.45</v>
      </c>
      <c r="Q232">
        <v>210</v>
      </c>
      <c r="R232" t="s">
        <v>900</v>
      </c>
      <c r="T232" s="57">
        <v>0</v>
      </c>
      <c r="U232" s="57">
        <v>0</v>
      </c>
      <c r="V232" s="57">
        <v>-60242.45</v>
      </c>
    </row>
    <row r="233" spans="1:23" ht="15.75" customHeight="1" x14ac:dyDescent="0.3">
      <c r="A233" s="57" t="s">
        <v>194</v>
      </c>
      <c r="B233" s="57" t="s">
        <v>309</v>
      </c>
      <c r="C233" s="58" t="s">
        <v>1221</v>
      </c>
      <c r="D233" s="58" t="s">
        <v>1254</v>
      </c>
      <c r="E233" s="59" t="s">
        <v>1255</v>
      </c>
      <c r="F233" s="55" t="s">
        <v>194</v>
      </c>
      <c r="G233" s="55" t="s">
        <v>309</v>
      </c>
      <c r="H233" t="s">
        <v>357</v>
      </c>
      <c r="I233" t="s">
        <v>428</v>
      </c>
      <c r="J233" t="s">
        <v>429</v>
      </c>
      <c r="K233" s="60">
        <v>22205000036</v>
      </c>
      <c r="L233" s="60" t="s">
        <v>455</v>
      </c>
      <c r="M233" s="57">
        <v>0</v>
      </c>
      <c r="N233" s="57">
        <v>0</v>
      </c>
      <c r="O233" s="57">
        <v>-352552.94</v>
      </c>
      <c r="Q233">
        <v>210</v>
      </c>
      <c r="R233" t="s">
        <v>900</v>
      </c>
      <c r="T233" s="57">
        <v>0</v>
      </c>
      <c r="U233" s="57">
        <v>0</v>
      </c>
      <c r="V233" s="57">
        <v>-352552.94</v>
      </c>
    </row>
    <row r="234" spans="1:23" ht="15.75" customHeight="1" x14ac:dyDescent="0.3">
      <c r="A234" s="57" t="s">
        <v>194</v>
      </c>
      <c r="B234" s="57" t="s">
        <v>309</v>
      </c>
      <c r="C234" s="58" t="s">
        <v>1221</v>
      </c>
      <c r="D234" s="58" t="s">
        <v>1254</v>
      </c>
      <c r="E234" s="59" t="s">
        <v>1255</v>
      </c>
      <c r="F234" s="55" t="s">
        <v>194</v>
      </c>
      <c r="G234" s="55" t="s">
        <v>309</v>
      </c>
      <c r="H234" t="s">
        <v>357</v>
      </c>
      <c r="I234" t="s">
        <v>428</v>
      </c>
      <c r="J234" t="s">
        <v>429</v>
      </c>
      <c r="K234" s="60">
        <v>22205000037</v>
      </c>
      <c r="L234" s="60" t="s">
        <v>456</v>
      </c>
      <c r="M234" s="57">
        <v>0</v>
      </c>
      <c r="N234" s="57">
        <v>0</v>
      </c>
      <c r="O234" s="57">
        <v>-50000</v>
      </c>
      <c r="Q234">
        <v>210</v>
      </c>
      <c r="R234" t="s">
        <v>900</v>
      </c>
      <c r="T234" s="57">
        <v>0</v>
      </c>
      <c r="U234" s="57">
        <v>0</v>
      </c>
      <c r="V234" s="57">
        <v>-50000</v>
      </c>
    </row>
    <row r="235" spans="1:23" ht="15.75" customHeight="1" x14ac:dyDescent="0.3">
      <c r="A235" s="57" t="s">
        <v>194</v>
      </c>
      <c r="B235" s="57" t="s">
        <v>309</v>
      </c>
      <c r="C235" s="58" t="s">
        <v>1221</v>
      </c>
      <c r="D235" s="58" t="s">
        <v>1254</v>
      </c>
      <c r="E235" s="59" t="s">
        <v>1255</v>
      </c>
      <c r="F235" s="55" t="s">
        <v>194</v>
      </c>
      <c r="G235" s="55" t="s">
        <v>309</v>
      </c>
      <c r="H235" t="s">
        <v>357</v>
      </c>
      <c r="I235" t="s">
        <v>428</v>
      </c>
      <c r="J235" t="s">
        <v>429</v>
      </c>
      <c r="K235" s="60">
        <v>22205000038</v>
      </c>
      <c r="L235" s="60" t="s">
        <v>457</v>
      </c>
      <c r="M235" s="57">
        <v>0</v>
      </c>
      <c r="N235" s="57">
        <v>0</v>
      </c>
      <c r="O235" s="57">
        <v>-16736.13</v>
      </c>
      <c r="Q235">
        <v>210</v>
      </c>
      <c r="R235" t="s">
        <v>900</v>
      </c>
      <c r="T235" s="57">
        <v>0</v>
      </c>
      <c r="U235" s="57">
        <v>0</v>
      </c>
      <c r="V235" s="57">
        <v>-16736.13</v>
      </c>
    </row>
    <row r="236" spans="1:23" ht="15.75" customHeight="1" x14ac:dyDescent="0.3">
      <c r="A236" s="57" t="s">
        <v>194</v>
      </c>
      <c r="B236" s="57" t="s">
        <v>309</v>
      </c>
      <c r="C236" s="58" t="s">
        <v>1221</v>
      </c>
      <c r="D236" s="58" t="s">
        <v>1254</v>
      </c>
      <c r="E236" s="59" t="s">
        <v>1255</v>
      </c>
      <c r="F236" s="55" t="s">
        <v>194</v>
      </c>
      <c r="G236" s="55" t="s">
        <v>309</v>
      </c>
      <c r="H236" t="s">
        <v>357</v>
      </c>
      <c r="I236" t="s">
        <v>428</v>
      </c>
      <c r="J236" t="s">
        <v>429</v>
      </c>
      <c r="K236" s="60">
        <v>22205000039</v>
      </c>
      <c r="L236" s="60" t="s">
        <v>458</v>
      </c>
      <c r="M236" s="57">
        <v>0</v>
      </c>
      <c r="N236" s="57">
        <v>0</v>
      </c>
      <c r="O236" s="57">
        <v>-58702.400000000001</v>
      </c>
      <c r="Q236">
        <v>210</v>
      </c>
      <c r="R236" t="s">
        <v>900</v>
      </c>
      <c r="T236" s="57">
        <v>0</v>
      </c>
      <c r="U236" s="57">
        <v>0</v>
      </c>
      <c r="V236" s="57">
        <v>-58702.400000000001</v>
      </c>
    </row>
    <row r="237" spans="1:23" ht="15.75" customHeight="1" x14ac:dyDescent="0.3">
      <c r="A237" s="57" t="s">
        <v>194</v>
      </c>
      <c r="B237" s="57" t="s">
        <v>309</v>
      </c>
      <c r="C237" s="58" t="s">
        <v>1221</v>
      </c>
      <c r="D237" s="58" t="s">
        <v>1254</v>
      </c>
      <c r="E237" s="59" t="s">
        <v>1255</v>
      </c>
      <c r="F237" s="55" t="s">
        <v>194</v>
      </c>
      <c r="G237" s="55" t="s">
        <v>309</v>
      </c>
      <c r="H237" t="s">
        <v>357</v>
      </c>
      <c r="I237" t="s">
        <v>428</v>
      </c>
      <c r="J237" t="s">
        <v>429</v>
      </c>
      <c r="K237" s="60">
        <v>22205000041</v>
      </c>
      <c r="L237" s="60" t="s">
        <v>459</v>
      </c>
      <c r="M237" s="57">
        <v>0</v>
      </c>
      <c r="N237" s="57">
        <v>0</v>
      </c>
      <c r="O237" s="57">
        <v>-300000</v>
      </c>
      <c r="Q237">
        <v>210</v>
      </c>
      <c r="R237" t="s">
        <v>900</v>
      </c>
      <c r="T237" s="57">
        <v>0</v>
      </c>
      <c r="U237" s="57">
        <v>0</v>
      </c>
      <c r="V237" s="57">
        <v>-300000</v>
      </c>
    </row>
    <row r="238" spans="1:23" ht="15.75" customHeight="1" x14ac:dyDescent="0.3">
      <c r="A238" s="57" t="s">
        <v>194</v>
      </c>
      <c r="B238" s="57" t="s">
        <v>309</v>
      </c>
      <c r="C238" s="58" t="s">
        <v>1221</v>
      </c>
      <c r="D238" s="58" t="s">
        <v>1254</v>
      </c>
      <c r="E238" s="59" t="s">
        <v>1255</v>
      </c>
      <c r="F238" s="55" t="s">
        <v>194</v>
      </c>
      <c r="G238" s="55" t="s">
        <v>309</v>
      </c>
      <c r="H238" t="s">
        <v>357</v>
      </c>
      <c r="I238" t="s">
        <v>428</v>
      </c>
      <c r="J238" t="s">
        <v>429</v>
      </c>
      <c r="K238" s="72"/>
      <c r="L238" s="68" t="s">
        <v>460</v>
      </c>
      <c r="M238" s="57">
        <v>0</v>
      </c>
      <c r="N238" s="57">
        <v>0</v>
      </c>
      <c r="O238" s="57">
        <v>0</v>
      </c>
      <c r="T238" s="57">
        <v>0</v>
      </c>
      <c r="U238" s="57">
        <v>0</v>
      </c>
      <c r="V238" s="57">
        <v>0</v>
      </c>
    </row>
    <row r="239" spans="1:23" ht="15.75" x14ac:dyDescent="0.3">
      <c r="A239" s="57"/>
      <c r="B239" s="57"/>
      <c r="C239" s="58"/>
      <c r="D239" s="58"/>
      <c r="E239" s="59"/>
      <c r="F239" s="55" t="s">
        <v>194</v>
      </c>
      <c r="G239" s="55" t="s">
        <v>309</v>
      </c>
      <c r="H239" t="s">
        <v>357</v>
      </c>
      <c r="I239" t="s">
        <v>428</v>
      </c>
      <c r="J239" t="s">
        <v>429</v>
      </c>
      <c r="K239" t="s">
        <v>1317</v>
      </c>
      <c r="L239" s="232" t="s">
        <v>1318</v>
      </c>
      <c r="M239" s="57">
        <v>-571834</v>
      </c>
      <c r="N239" s="57">
        <v>-1095235</v>
      </c>
      <c r="O239" s="57">
        <v>-1155755.5499999998</v>
      </c>
      <c r="Q239">
        <v>210</v>
      </c>
      <c r="R239" t="s">
        <v>900</v>
      </c>
      <c r="T239" s="333">
        <v>-571834</v>
      </c>
      <c r="U239" s="333">
        <v>-1095235</v>
      </c>
      <c r="V239" s="333">
        <v>0</v>
      </c>
    </row>
    <row r="240" spans="1:23" ht="15.75" customHeight="1" x14ac:dyDescent="0.3">
      <c r="A240" s="57" t="s">
        <v>194</v>
      </c>
      <c r="B240" s="57" t="s">
        <v>309</v>
      </c>
      <c r="C240" s="58" t="s">
        <v>1221</v>
      </c>
      <c r="D240" s="58" t="s">
        <v>1254</v>
      </c>
      <c r="E240" s="59" t="s">
        <v>1255</v>
      </c>
      <c r="F240" s="55" t="s">
        <v>194</v>
      </c>
      <c r="G240" s="55" t="s">
        <v>309</v>
      </c>
      <c r="H240" t="s">
        <v>403</v>
      </c>
      <c r="I240" t="s">
        <v>461</v>
      </c>
      <c r="J240" t="s">
        <v>429</v>
      </c>
      <c r="K240" s="60">
        <v>22206000001</v>
      </c>
      <c r="L240" s="60" t="s">
        <v>462</v>
      </c>
      <c r="M240" s="57">
        <v>-823958.56</v>
      </c>
      <c r="N240" s="57">
        <v>-723464.93</v>
      </c>
      <c r="O240" s="57">
        <v>-506436.44999999995</v>
      </c>
      <c r="P240" s="55"/>
      <c r="Q240">
        <v>160</v>
      </c>
      <c r="R240" t="s">
        <v>896</v>
      </c>
      <c r="T240" s="57">
        <v>-823958.56</v>
      </c>
      <c r="U240" s="57">
        <v>-723464.93</v>
      </c>
      <c r="V240" s="57">
        <v>-617715.84</v>
      </c>
      <c r="W240" s="55"/>
    </row>
    <row r="241" spans="1:24" ht="15.75" customHeight="1" x14ac:dyDescent="0.3">
      <c r="A241" s="57" t="s">
        <v>194</v>
      </c>
      <c r="B241" s="57" t="s">
        <v>309</v>
      </c>
      <c r="C241" s="58" t="s">
        <v>1221</v>
      </c>
      <c r="D241" s="58" t="s">
        <v>1254</v>
      </c>
      <c r="E241" s="59" t="s">
        <v>1255</v>
      </c>
      <c r="F241" s="55" t="s">
        <v>194</v>
      </c>
      <c r="G241" s="55" t="s">
        <v>309</v>
      </c>
      <c r="H241" t="s">
        <v>403</v>
      </c>
      <c r="I241" t="s">
        <v>461</v>
      </c>
      <c r="J241" t="s">
        <v>429</v>
      </c>
      <c r="K241" s="60">
        <v>22206000002</v>
      </c>
      <c r="L241" s="60" t="s">
        <v>463</v>
      </c>
      <c r="M241" s="57">
        <v>-823958.56</v>
      </c>
      <c r="N241" s="57">
        <v>-723464.93</v>
      </c>
      <c r="O241" s="57">
        <v>-506436.44999999995</v>
      </c>
      <c r="P241" s="55"/>
      <c r="Q241">
        <v>160</v>
      </c>
      <c r="R241" t="s">
        <v>896</v>
      </c>
      <c r="T241" s="57">
        <v>-823958.56</v>
      </c>
      <c r="U241" s="57">
        <v>-723464.93</v>
      </c>
      <c r="V241" s="57">
        <v>-617715.84</v>
      </c>
      <c r="W241" s="55"/>
    </row>
    <row r="242" spans="1:24" ht="15.75" customHeight="1" x14ac:dyDescent="0.3">
      <c r="A242" s="57" t="s">
        <v>194</v>
      </c>
      <c r="B242" s="57" t="s">
        <v>309</v>
      </c>
      <c r="C242" s="58" t="s">
        <v>1221</v>
      </c>
      <c r="D242" s="58" t="s">
        <v>1254</v>
      </c>
      <c r="E242" s="59" t="s">
        <v>1255</v>
      </c>
      <c r="F242" s="55" t="s">
        <v>194</v>
      </c>
      <c r="G242" s="55" t="s">
        <v>309</v>
      </c>
      <c r="H242" t="s">
        <v>403</v>
      </c>
      <c r="I242" t="s">
        <v>461</v>
      </c>
      <c r="J242" t="s">
        <v>429</v>
      </c>
      <c r="K242" s="60">
        <v>22206000008</v>
      </c>
      <c r="L242" s="60" t="s">
        <v>464</v>
      </c>
      <c r="M242" s="57">
        <v>-484134.04000000004</v>
      </c>
      <c r="N242" s="57">
        <v>86676.359999999986</v>
      </c>
      <c r="O242" s="57">
        <v>-468415.38</v>
      </c>
      <c r="P242" s="55"/>
      <c r="Q242">
        <v>160</v>
      </c>
      <c r="R242" t="s">
        <v>896</v>
      </c>
      <c r="T242" s="333">
        <v>-484134.04000000004</v>
      </c>
      <c r="U242" s="333">
        <v>86676.359999999986</v>
      </c>
      <c r="V242" s="333">
        <v>-767324.78</v>
      </c>
      <c r="W242" s="55"/>
    </row>
    <row r="243" spans="1:24" ht="15.75" customHeight="1" x14ac:dyDescent="0.3">
      <c r="A243" s="57" t="s">
        <v>194</v>
      </c>
      <c r="B243" s="57" t="s">
        <v>309</v>
      </c>
      <c r="C243" s="58" t="s">
        <v>1221</v>
      </c>
      <c r="D243" s="58" t="s">
        <v>1254</v>
      </c>
      <c r="E243" s="59" t="s">
        <v>1255</v>
      </c>
      <c r="F243" s="55" t="s">
        <v>194</v>
      </c>
      <c r="G243" s="55" t="s">
        <v>309</v>
      </c>
      <c r="H243" t="s">
        <v>403</v>
      </c>
      <c r="I243" t="s">
        <v>461</v>
      </c>
      <c r="J243" t="s">
        <v>429</v>
      </c>
      <c r="K243" s="60">
        <v>22206000010</v>
      </c>
      <c r="L243" s="60" t="s">
        <v>465</v>
      </c>
      <c r="M243" s="57">
        <v>-188889.8</v>
      </c>
      <c r="N243" s="57">
        <v>-168969.12</v>
      </c>
      <c r="O243" s="57">
        <v>-121553.76</v>
      </c>
      <c r="P243" s="55"/>
      <c r="Q243">
        <v>160</v>
      </c>
      <c r="R243" t="s">
        <v>896</v>
      </c>
      <c r="T243" s="57">
        <v>-188889.8</v>
      </c>
      <c r="U243" s="57">
        <v>-168969.12</v>
      </c>
      <c r="V243" s="57">
        <v>-148290.84</v>
      </c>
      <c r="W243" s="55"/>
    </row>
    <row r="244" spans="1:24" ht="15.75" customHeight="1" x14ac:dyDescent="0.3">
      <c r="A244" s="57" t="s">
        <v>194</v>
      </c>
      <c r="B244" s="57" t="s">
        <v>309</v>
      </c>
      <c r="C244" s="58" t="s">
        <v>1221</v>
      </c>
      <c r="D244" s="58" t="s">
        <v>1254</v>
      </c>
      <c r="E244" s="59" t="s">
        <v>1255</v>
      </c>
      <c r="F244" s="55" t="s">
        <v>194</v>
      </c>
      <c r="G244" s="55" t="s">
        <v>309</v>
      </c>
      <c r="H244" t="s">
        <v>403</v>
      </c>
      <c r="I244" t="s">
        <v>461</v>
      </c>
      <c r="J244" t="s">
        <v>429</v>
      </c>
      <c r="K244" s="60">
        <v>22206000011</v>
      </c>
      <c r="L244" s="60" t="s">
        <v>466</v>
      </c>
      <c r="M244" s="57">
        <v>-244022.13</v>
      </c>
      <c r="N244" s="57">
        <v>-208539.63</v>
      </c>
      <c r="O244" s="57">
        <v>-135381.31</v>
      </c>
      <c r="P244" s="55"/>
      <c r="Q244">
        <v>160</v>
      </c>
      <c r="R244" t="s">
        <v>896</v>
      </c>
      <c r="T244" s="57">
        <v>-244022.13</v>
      </c>
      <c r="U244" s="57">
        <v>-208539.63</v>
      </c>
      <c r="V244" s="57">
        <v>-172330.98</v>
      </c>
      <c r="W244" s="55"/>
    </row>
    <row r="245" spans="1:24" ht="15.75" customHeight="1" x14ac:dyDescent="0.3">
      <c r="A245" s="57" t="s">
        <v>194</v>
      </c>
      <c r="B245" s="57" t="s">
        <v>309</v>
      </c>
      <c r="C245" s="58" t="s">
        <v>1221</v>
      </c>
      <c r="D245" s="58" t="s">
        <v>1254</v>
      </c>
      <c r="E245" s="59" t="s">
        <v>1255</v>
      </c>
      <c r="F245" s="55" t="s">
        <v>194</v>
      </c>
      <c r="G245" s="55" t="s">
        <v>309</v>
      </c>
      <c r="H245" t="s">
        <v>403</v>
      </c>
      <c r="I245" t="s">
        <v>461</v>
      </c>
      <c r="J245" t="s">
        <v>429</v>
      </c>
      <c r="K245" s="60">
        <v>22206000012</v>
      </c>
      <c r="L245" s="60" t="s">
        <v>467</v>
      </c>
      <c r="M245" s="57">
        <v>-102013.45</v>
      </c>
      <c r="N245" s="57">
        <v>-45933.5</v>
      </c>
      <c r="O245" s="57">
        <v>-30009.579999999998</v>
      </c>
      <c r="P245" s="55"/>
      <c r="Q245">
        <v>160</v>
      </c>
      <c r="R245" t="s">
        <v>896</v>
      </c>
      <c r="T245" s="57">
        <v>-102013.45</v>
      </c>
      <c r="U245" s="57">
        <v>-45933.5</v>
      </c>
      <c r="V245" s="57">
        <v>-38078.42</v>
      </c>
      <c r="W245" s="55"/>
    </row>
    <row r="246" spans="1:24" ht="15.75" customHeight="1" x14ac:dyDescent="0.3">
      <c r="A246" s="57" t="s">
        <v>194</v>
      </c>
      <c r="B246" s="57" t="s">
        <v>309</v>
      </c>
      <c r="C246" s="58" t="s">
        <v>1221</v>
      </c>
      <c r="D246" s="58" t="s">
        <v>1254</v>
      </c>
      <c r="E246" s="59" t="s">
        <v>1255</v>
      </c>
      <c r="F246" s="55" t="s">
        <v>194</v>
      </c>
      <c r="G246" s="55" t="s">
        <v>309</v>
      </c>
      <c r="H246" t="s">
        <v>403</v>
      </c>
      <c r="I246" t="s">
        <v>461</v>
      </c>
      <c r="J246" t="s">
        <v>429</v>
      </c>
      <c r="K246" s="60">
        <v>22206000013</v>
      </c>
      <c r="L246" s="60" t="s">
        <v>468</v>
      </c>
      <c r="M246" s="57">
        <v>-24328.720000000001</v>
      </c>
      <c r="N246" s="57">
        <v>-12757.39</v>
      </c>
      <c r="O246" s="57">
        <v>0</v>
      </c>
      <c r="P246" s="55"/>
      <c r="Q246">
        <v>160</v>
      </c>
      <c r="R246" t="s">
        <v>896</v>
      </c>
      <c r="T246" s="57">
        <v>-24328.720000000001</v>
      </c>
      <c r="U246" s="57">
        <v>-12757.39</v>
      </c>
      <c r="V246" s="57">
        <v>0</v>
      </c>
      <c r="W246" s="55"/>
    </row>
    <row r="247" spans="1:24" ht="15.75" customHeight="1" x14ac:dyDescent="0.3">
      <c r="A247" s="57" t="s">
        <v>194</v>
      </c>
      <c r="B247" s="57" t="s">
        <v>309</v>
      </c>
      <c r="C247" s="58" t="s">
        <v>1221</v>
      </c>
      <c r="D247" s="58" t="s">
        <v>1254</v>
      </c>
      <c r="E247" s="59" t="s">
        <v>1255</v>
      </c>
      <c r="F247" s="55" t="s">
        <v>194</v>
      </c>
      <c r="G247" s="55" t="s">
        <v>309</v>
      </c>
      <c r="H247" t="s">
        <v>403</v>
      </c>
      <c r="I247" t="s">
        <v>461</v>
      </c>
      <c r="J247" t="s">
        <v>429</v>
      </c>
      <c r="K247" s="60">
        <v>22206000015</v>
      </c>
      <c r="L247" s="60" t="s">
        <v>469</v>
      </c>
      <c r="M247" s="57">
        <v>0</v>
      </c>
      <c r="N247" s="57">
        <v>0</v>
      </c>
      <c r="O247" s="57">
        <v>-63868.44999999999</v>
      </c>
      <c r="P247" s="55"/>
      <c r="Q247">
        <v>160</v>
      </c>
      <c r="R247" t="s">
        <v>896</v>
      </c>
      <c r="T247" s="57">
        <v>0</v>
      </c>
      <c r="U247" s="57">
        <v>0</v>
      </c>
      <c r="V247" s="57">
        <v>-113546.93</v>
      </c>
    </row>
    <row r="248" spans="1:24" ht="15.75" customHeight="1" x14ac:dyDescent="0.3">
      <c r="A248" s="57" t="s">
        <v>194</v>
      </c>
      <c r="B248" s="57" t="s">
        <v>309</v>
      </c>
      <c r="C248" s="58" t="s">
        <v>1221</v>
      </c>
      <c r="D248" s="58" t="s">
        <v>1254</v>
      </c>
      <c r="E248" s="59" t="s">
        <v>1255</v>
      </c>
      <c r="F248" s="55" t="s">
        <v>194</v>
      </c>
      <c r="G248" s="55" t="s">
        <v>309</v>
      </c>
      <c r="H248" t="s">
        <v>403</v>
      </c>
      <c r="I248" t="s">
        <v>461</v>
      </c>
      <c r="J248" t="s">
        <v>429</v>
      </c>
      <c r="K248" s="60">
        <v>22206000017</v>
      </c>
      <c r="L248" s="75" t="s">
        <v>470</v>
      </c>
      <c r="M248" s="57">
        <v>-877222.49</v>
      </c>
      <c r="N248" s="57">
        <v>-821013.29</v>
      </c>
      <c r="O248" s="57">
        <v>-580539.21000000008</v>
      </c>
      <c r="P248" s="55"/>
      <c r="Q248">
        <v>160</v>
      </c>
      <c r="R248" t="s">
        <v>896</v>
      </c>
      <c r="T248" s="57">
        <v>-886322.49</v>
      </c>
      <c r="U248" s="57">
        <v>-828007.56</v>
      </c>
      <c r="V248" s="57">
        <v>-708439.8</v>
      </c>
      <c r="W248" s="55"/>
    </row>
    <row r="249" spans="1:24" ht="15.75" customHeight="1" x14ac:dyDescent="0.3">
      <c r="A249" s="57" t="s">
        <v>194</v>
      </c>
      <c r="B249" s="57" t="s">
        <v>309</v>
      </c>
      <c r="C249" s="58" t="s">
        <v>1221</v>
      </c>
      <c r="D249" s="58" t="s">
        <v>1254</v>
      </c>
      <c r="E249" s="59" t="s">
        <v>1255</v>
      </c>
      <c r="F249" s="55" t="s">
        <v>194</v>
      </c>
      <c r="G249" s="55" t="s">
        <v>309</v>
      </c>
      <c r="H249" t="s">
        <v>403</v>
      </c>
      <c r="I249" t="s">
        <v>461</v>
      </c>
      <c r="J249" t="s">
        <v>429</v>
      </c>
      <c r="K249" s="60">
        <v>22206000018</v>
      </c>
      <c r="L249" s="60" t="s">
        <v>471</v>
      </c>
      <c r="M249" s="57">
        <v>-156250</v>
      </c>
      <c r="N249" s="57">
        <v>-62500</v>
      </c>
      <c r="O249" s="57">
        <v>0</v>
      </c>
      <c r="P249" s="55"/>
      <c r="Q249">
        <v>160</v>
      </c>
      <c r="R249" t="s">
        <v>896</v>
      </c>
      <c r="T249" s="57">
        <v>-156250</v>
      </c>
      <c r="U249" s="57">
        <v>-62500</v>
      </c>
      <c r="V249" s="57">
        <v>0</v>
      </c>
      <c r="W249" s="55"/>
    </row>
    <row r="250" spans="1:24" ht="15.75" customHeight="1" x14ac:dyDescent="0.3">
      <c r="A250" s="57" t="s">
        <v>194</v>
      </c>
      <c r="B250" s="57" t="s">
        <v>309</v>
      </c>
      <c r="C250" s="58" t="s">
        <v>1221</v>
      </c>
      <c r="D250" s="58" t="s">
        <v>1254</v>
      </c>
      <c r="E250" s="59" t="s">
        <v>1255</v>
      </c>
      <c r="F250" s="55" t="s">
        <v>194</v>
      </c>
      <c r="G250" s="55" t="s">
        <v>309</v>
      </c>
      <c r="H250" t="s">
        <v>403</v>
      </c>
      <c r="I250" t="s">
        <v>461</v>
      </c>
      <c r="J250" t="s">
        <v>429</v>
      </c>
      <c r="K250" s="60">
        <v>22206000019</v>
      </c>
      <c r="L250" s="60" t="s">
        <v>472</v>
      </c>
      <c r="M250" s="57">
        <v>-277645.74</v>
      </c>
      <c r="N250" s="57">
        <v>-219145.8</v>
      </c>
      <c r="O250" s="57">
        <v>-96485.61</v>
      </c>
      <c r="P250" s="55"/>
      <c r="Q250">
        <v>160</v>
      </c>
      <c r="R250" t="s">
        <v>896</v>
      </c>
      <c r="T250" s="57">
        <v>-277645.74</v>
      </c>
      <c r="U250" s="57">
        <v>-219145.8</v>
      </c>
      <c r="V250" s="57">
        <v>-158680.94</v>
      </c>
      <c r="W250" s="55"/>
    </row>
    <row r="251" spans="1:24" ht="15.75" customHeight="1" x14ac:dyDescent="0.3">
      <c r="A251" s="57" t="s">
        <v>194</v>
      </c>
      <c r="B251" s="57" t="s">
        <v>309</v>
      </c>
      <c r="C251" s="58" t="s">
        <v>1221</v>
      </c>
      <c r="D251" s="58" t="s">
        <v>1254</v>
      </c>
      <c r="E251" s="59" t="s">
        <v>1255</v>
      </c>
      <c r="F251" s="55" t="s">
        <v>194</v>
      </c>
      <c r="G251" s="55" t="s">
        <v>309</v>
      </c>
      <c r="H251" t="s">
        <v>403</v>
      </c>
      <c r="I251" t="s">
        <v>461</v>
      </c>
      <c r="J251" t="s">
        <v>429</v>
      </c>
      <c r="K251" s="60">
        <v>22206000020</v>
      </c>
      <c r="L251" s="60" t="s">
        <v>473</v>
      </c>
      <c r="M251" s="57">
        <v>0</v>
      </c>
      <c r="N251" s="57">
        <v>-459860.44</v>
      </c>
      <c r="O251" s="57">
        <v>-128592.62</v>
      </c>
      <c r="P251" s="55"/>
      <c r="Q251">
        <v>160</v>
      </c>
      <c r="R251" t="s">
        <v>896</v>
      </c>
      <c r="T251" s="57">
        <v>0</v>
      </c>
      <c r="U251" s="57">
        <v>-459860.44</v>
      </c>
      <c r="V251" s="57">
        <v>-296345.76</v>
      </c>
      <c r="W251" s="55"/>
    </row>
    <row r="252" spans="1:24" ht="15.75" customHeight="1" x14ac:dyDescent="0.3">
      <c r="A252" s="57" t="s">
        <v>194</v>
      </c>
      <c r="B252" s="57" t="s">
        <v>309</v>
      </c>
      <c r="C252" s="58" t="s">
        <v>1221</v>
      </c>
      <c r="D252" s="58" t="s">
        <v>1254</v>
      </c>
      <c r="E252" s="59" t="s">
        <v>1255</v>
      </c>
      <c r="F252" s="55" t="s">
        <v>194</v>
      </c>
      <c r="G252" s="55" t="s">
        <v>309</v>
      </c>
      <c r="H252" t="s">
        <v>403</v>
      </c>
      <c r="I252" t="s">
        <v>461</v>
      </c>
      <c r="J252" t="s">
        <v>429</v>
      </c>
      <c r="K252" s="60">
        <v>22206000021</v>
      </c>
      <c r="L252" s="75" t="s">
        <v>474</v>
      </c>
      <c r="M252" s="57">
        <v>0</v>
      </c>
      <c r="N252" s="57">
        <v>-738196</v>
      </c>
      <c r="O252" s="57">
        <v>-438461.64</v>
      </c>
      <c r="P252" s="55"/>
      <c r="Q252">
        <v>160</v>
      </c>
      <c r="R252" t="s">
        <v>896</v>
      </c>
      <c r="T252" s="57">
        <v>0</v>
      </c>
      <c r="U252" s="57">
        <v>-800000</v>
      </c>
      <c r="V252" s="57">
        <v>-640000</v>
      </c>
      <c r="W252" s="55"/>
    </row>
    <row r="253" spans="1:24" ht="15.75" customHeight="1" x14ac:dyDescent="0.3">
      <c r="A253" s="57" t="s">
        <v>194</v>
      </c>
      <c r="B253" s="57" t="s">
        <v>309</v>
      </c>
      <c r="C253" s="58" t="s">
        <v>1221</v>
      </c>
      <c r="D253" s="58" t="s">
        <v>1254</v>
      </c>
      <c r="E253" s="59" t="s">
        <v>1255</v>
      </c>
      <c r="F253" s="55" t="s">
        <v>194</v>
      </c>
      <c r="G253" s="55" t="s">
        <v>309</v>
      </c>
      <c r="H253" t="s">
        <v>403</v>
      </c>
      <c r="I253" t="s">
        <v>461</v>
      </c>
      <c r="J253" t="s">
        <v>429</v>
      </c>
      <c r="K253" s="60">
        <v>22206000022</v>
      </c>
      <c r="L253" s="75" t="s">
        <v>475</v>
      </c>
      <c r="M253" s="57">
        <v>0</v>
      </c>
      <c r="N253" s="57">
        <v>-1037725.33</v>
      </c>
      <c r="O253" s="57">
        <v>-1387255.99</v>
      </c>
      <c r="P253" s="55"/>
      <c r="Q253">
        <v>160</v>
      </c>
      <c r="R253" t="s">
        <v>896</v>
      </c>
      <c r="T253" s="57">
        <v>0</v>
      </c>
      <c r="U253" s="57">
        <v>-1158000</v>
      </c>
      <c r="V253" s="57">
        <v>-1500000</v>
      </c>
      <c r="W253" s="55"/>
    </row>
    <row r="254" spans="1:24" ht="15.75" customHeight="1" x14ac:dyDescent="0.3">
      <c r="A254" s="57"/>
      <c r="B254" s="57"/>
      <c r="C254" s="58"/>
      <c r="D254" s="58"/>
      <c r="E254" s="59"/>
      <c r="F254" s="55" t="s">
        <v>194</v>
      </c>
      <c r="G254" s="55" t="s">
        <v>309</v>
      </c>
      <c r="H254" t="s">
        <v>357</v>
      </c>
      <c r="I254" t="s">
        <v>428</v>
      </c>
      <c r="J254" t="s">
        <v>476</v>
      </c>
      <c r="K254" s="60" t="s">
        <v>477</v>
      </c>
      <c r="L254" s="60" t="s">
        <v>478</v>
      </c>
      <c r="M254" s="57">
        <v>0</v>
      </c>
      <c r="N254" s="57">
        <v>-6145.92</v>
      </c>
      <c r="O254" s="57">
        <v>-44375.145000000004</v>
      </c>
      <c r="Q254">
        <v>210</v>
      </c>
      <c r="R254" t="s">
        <v>901</v>
      </c>
      <c r="T254" s="57">
        <v>0</v>
      </c>
      <c r="U254" s="57">
        <v>0</v>
      </c>
      <c r="V254" s="57">
        <v>0</v>
      </c>
      <c r="W254" s="55"/>
    </row>
    <row r="255" spans="1:24" ht="15.75" customHeight="1" x14ac:dyDescent="0.3">
      <c r="A255" s="57"/>
      <c r="B255" s="57"/>
      <c r="C255" s="58"/>
      <c r="D255" s="58"/>
      <c r="E255" s="59"/>
      <c r="F255" s="55" t="s">
        <v>194</v>
      </c>
      <c r="G255" s="55" t="s">
        <v>309</v>
      </c>
      <c r="H255" t="s">
        <v>403</v>
      </c>
      <c r="I255" t="s">
        <v>461</v>
      </c>
      <c r="J255" t="s">
        <v>476</v>
      </c>
      <c r="K255" s="60" t="s">
        <v>479</v>
      </c>
      <c r="L255" s="60" t="s">
        <v>480</v>
      </c>
      <c r="M255" s="57">
        <v>0</v>
      </c>
      <c r="N255" s="57">
        <v>-11728.01</v>
      </c>
      <c r="O255" s="57">
        <v>-96633.889999999985</v>
      </c>
      <c r="P255" s="55"/>
      <c r="Q255">
        <v>160</v>
      </c>
      <c r="R255" t="s">
        <v>897</v>
      </c>
      <c r="T255" s="57">
        <v>0</v>
      </c>
      <c r="U255" s="57">
        <v>0</v>
      </c>
      <c r="V255" s="57">
        <v>0</v>
      </c>
      <c r="W255" s="55"/>
    </row>
    <row r="256" spans="1:24" ht="15.75" customHeight="1" x14ac:dyDescent="0.3">
      <c r="A256" s="57" t="s">
        <v>194</v>
      </c>
      <c r="B256" s="57" t="s">
        <v>309</v>
      </c>
      <c r="C256" s="58" t="s">
        <v>1221</v>
      </c>
      <c r="D256" s="58" t="s">
        <v>356</v>
      </c>
      <c r="E256" s="59" t="s">
        <v>1256</v>
      </c>
      <c r="F256" s="55" t="s">
        <v>194</v>
      </c>
      <c r="G256" s="55" t="s">
        <v>309</v>
      </c>
      <c r="H256" t="s">
        <v>357</v>
      </c>
      <c r="I256" t="s">
        <v>358</v>
      </c>
      <c r="J256" t="s">
        <v>141</v>
      </c>
      <c r="K256" s="60">
        <v>22200</v>
      </c>
      <c r="L256" s="60" t="s">
        <v>141</v>
      </c>
      <c r="M256" s="57">
        <v>-8281177.8200000003</v>
      </c>
      <c r="N256" s="57">
        <v>-10393447.16</v>
      </c>
      <c r="O256" s="57">
        <v>-10108334.449999999</v>
      </c>
      <c r="Q256">
        <v>190</v>
      </c>
      <c r="R256" t="s">
        <v>903</v>
      </c>
      <c r="T256" s="57">
        <v>-8281177.8200000003</v>
      </c>
      <c r="U256" s="57">
        <v>-10393447.16</v>
      </c>
      <c r="V256" s="57">
        <v>-10108334.449999999</v>
      </c>
      <c r="X256" s="55"/>
    </row>
    <row r="257" spans="1:26" ht="15.75" customHeight="1" x14ac:dyDescent="0.3">
      <c r="A257" s="57" t="s">
        <v>194</v>
      </c>
      <c r="B257" s="57" t="s">
        <v>309</v>
      </c>
      <c r="C257" s="58" t="s">
        <v>1221</v>
      </c>
      <c r="D257" s="58" t="s">
        <v>356</v>
      </c>
      <c r="E257" s="59" t="s">
        <v>1256</v>
      </c>
      <c r="F257" s="55" t="s">
        <v>194</v>
      </c>
      <c r="G257" s="55" t="s">
        <v>309</v>
      </c>
      <c r="H257" t="s">
        <v>357</v>
      </c>
      <c r="I257" t="s">
        <v>358</v>
      </c>
      <c r="J257" t="s">
        <v>141</v>
      </c>
      <c r="K257" s="60">
        <v>22211000004</v>
      </c>
      <c r="L257" s="60" t="s">
        <v>481</v>
      </c>
      <c r="M257" s="57">
        <v>-666665.91</v>
      </c>
      <c r="N257" s="57">
        <v>-616615.85</v>
      </c>
      <c r="O257" s="57">
        <v>-429965.96</v>
      </c>
      <c r="Q257">
        <v>190</v>
      </c>
      <c r="R257" t="s">
        <v>903</v>
      </c>
      <c r="T257" s="57">
        <v>-666665.91</v>
      </c>
      <c r="U257" s="57">
        <v>-616615.85</v>
      </c>
      <c r="V257" s="57">
        <v>-429965.96</v>
      </c>
      <c r="X257" s="55"/>
    </row>
    <row r="258" spans="1:26" ht="15.75" customHeight="1" x14ac:dyDescent="0.3">
      <c r="A258" s="57" t="s">
        <v>194</v>
      </c>
      <c r="B258" s="57" t="s">
        <v>309</v>
      </c>
      <c r="C258" s="58" t="s">
        <v>1221</v>
      </c>
      <c r="D258" s="58" t="s">
        <v>356</v>
      </c>
      <c r="E258" s="59" t="s">
        <v>1256</v>
      </c>
      <c r="F258" s="55" t="s">
        <v>194</v>
      </c>
      <c r="G258" s="55" t="s">
        <v>309</v>
      </c>
      <c r="H258" t="s">
        <v>357</v>
      </c>
      <c r="I258" t="s">
        <v>358</v>
      </c>
      <c r="J258" t="s">
        <v>141</v>
      </c>
      <c r="K258" s="60">
        <v>22211000008</v>
      </c>
      <c r="L258" s="60" t="s">
        <v>482</v>
      </c>
      <c r="M258" s="57">
        <v>-412180.74</v>
      </c>
      <c r="N258" s="57">
        <v>-369099.4</v>
      </c>
      <c r="O258" s="57">
        <v>-415400.17</v>
      </c>
      <c r="Q258">
        <v>190</v>
      </c>
      <c r="R258" t="s">
        <v>903</v>
      </c>
      <c r="T258" s="57">
        <v>-412180.74</v>
      </c>
      <c r="U258" s="57">
        <v>-369099.4</v>
      </c>
      <c r="V258" s="57">
        <v>-415400.17</v>
      </c>
      <c r="X258" s="55"/>
    </row>
    <row r="259" spans="1:26" ht="15.75" customHeight="1" x14ac:dyDescent="0.3">
      <c r="A259" s="57"/>
      <c r="B259" s="57"/>
      <c r="C259" s="58"/>
      <c r="D259" s="58"/>
      <c r="E259" s="59"/>
      <c r="F259" s="55" t="s">
        <v>194</v>
      </c>
      <c r="G259" s="55" t="s">
        <v>309</v>
      </c>
      <c r="H259" t="s">
        <v>357</v>
      </c>
      <c r="I259" t="s">
        <v>358</v>
      </c>
      <c r="J259" t="s">
        <v>141</v>
      </c>
      <c r="K259" s="60">
        <v>22221000009</v>
      </c>
      <c r="L259" s="60" t="s">
        <v>1407</v>
      </c>
      <c r="M259" s="57">
        <v>0</v>
      </c>
      <c r="N259" s="57">
        <v>0</v>
      </c>
      <c r="O259" s="57">
        <v>-110358.77</v>
      </c>
      <c r="Q259">
        <v>220</v>
      </c>
      <c r="R259" t="s">
        <v>907</v>
      </c>
      <c r="T259" s="57"/>
      <c r="U259" s="57"/>
      <c r="V259" s="57"/>
      <c r="X259" s="55"/>
    </row>
    <row r="260" spans="1:26" ht="15.75" customHeight="1" x14ac:dyDescent="0.3">
      <c r="A260" s="57" t="s">
        <v>194</v>
      </c>
      <c r="B260" s="57" t="s">
        <v>309</v>
      </c>
      <c r="C260" s="58" t="s">
        <v>1221</v>
      </c>
      <c r="D260" s="58" t="s">
        <v>1257</v>
      </c>
      <c r="E260" s="59" t="s">
        <v>1258</v>
      </c>
      <c r="F260" s="55" t="s">
        <v>194</v>
      </c>
      <c r="G260" s="55" t="s">
        <v>309</v>
      </c>
      <c r="H260" t="s">
        <v>357</v>
      </c>
      <c r="I260" t="s">
        <v>180</v>
      </c>
      <c r="J260" t="s">
        <v>180</v>
      </c>
      <c r="K260" s="69">
        <v>22221000010</v>
      </c>
      <c r="L260" s="69" t="s">
        <v>483</v>
      </c>
      <c r="M260" s="57">
        <v>-145695.4</v>
      </c>
      <c r="N260" s="57">
        <v>-233043.8</v>
      </c>
      <c r="O260" s="57">
        <v>-144814.37</v>
      </c>
      <c r="Q260">
        <v>220</v>
      </c>
      <c r="R260" t="s">
        <v>907</v>
      </c>
      <c r="T260" s="57">
        <v>-145695.4</v>
      </c>
      <c r="U260" s="57">
        <v>-233043.8</v>
      </c>
      <c r="V260" s="57">
        <v>-82531.199999999997</v>
      </c>
      <c r="X260" s="55"/>
      <c r="Y260" s="55"/>
      <c r="Z260" s="55"/>
    </row>
    <row r="261" spans="1:26" ht="15.75" customHeight="1" x14ac:dyDescent="0.3">
      <c r="A261" s="57" t="s">
        <v>194</v>
      </c>
      <c r="B261" s="57" t="s">
        <v>309</v>
      </c>
      <c r="C261" s="58" t="s">
        <v>1221</v>
      </c>
      <c r="D261" s="58" t="s">
        <v>1257</v>
      </c>
      <c r="E261" s="59" t="s">
        <v>1258</v>
      </c>
      <c r="F261" s="55" t="s">
        <v>194</v>
      </c>
      <c r="G261" s="55" t="s">
        <v>309</v>
      </c>
      <c r="H261" t="s">
        <v>357</v>
      </c>
      <c r="I261" t="s">
        <v>180</v>
      </c>
      <c r="J261" t="s">
        <v>180</v>
      </c>
      <c r="K261" s="69">
        <v>22221000011</v>
      </c>
      <c r="L261" s="69" t="s">
        <v>484</v>
      </c>
      <c r="M261" s="57">
        <v>-264564.15999999997</v>
      </c>
      <c r="N261" s="57">
        <v>-240493.79</v>
      </c>
      <c r="O261" s="57">
        <v>-484481.43</v>
      </c>
      <c r="Q261">
        <v>220</v>
      </c>
      <c r="R261" t="s">
        <v>909</v>
      </c>
      <c r="T261" s="57">
        <v>-264564.15999999997</v>
      </c>
      <c r="U261" s="57">
        <v>-240493.79</v>
      </c>
      <c r="V261" s="57">
        <v>-484481.43</v>
      </c>
      <c r="X261" s="55"/>
      <c r="Y261" s="55"/>
      <c r="Z261" s="55"/>
    </row>
    <row r="262" spans="1:26" ht="15.75" customHeight="1" x14ac:dyDescent="0.3">
      <c r="A262" s="57" t="s">
        <v>194</v>
      </c>
      <c r="B262" s="57" t="s">
        <v>309</v>
      </c>
      <c r="C262" s="58" t="s">
        <v>1221</v>
      </c>
      <c r="D262" s="58" t="s">
        <v>1257</v>
      </c>
      <c r="E262" s="59" t="s">
        <v>1258</v>
      </c>
      <c r="F262" s="55" t="s">
        <v>194</v>
      </c>
      <c r="G262" s="55" t="s">
        <v>309</v>
      </c>
      <c r="H262" t="s">
        <v>357</v>
      </c>
      <c r="I262" t="s">
        <v>180</v>
      </c>
      <c r="J262" t="s">
        <v>180</v>
      </c>
      <c r="K262" s="69">
        <v>22221000012</v>
      </c>
      <c r="L262" s="69" t="s">
        <v>485</v>
      </c>
      <c r="M262" s="57">
        <v>-12203.43</v>
      </c>
      <c r="N262" s="57">
        <v>-18104.240000000002</v>
      </c>
      <c r="O262" s="57">
        <v>-21078.84</v>
      </c>
      <c r="Q262">
        <v>220</v>
      </c>
      <c r="R262" t="s">
        <v>909</v>
      </c>
      <c r="T262" s="57">
        <v>-12203.43</v>
      </c>
      <c r="U262" s="57">
        <v>-18104.240000000002</v>
      </c>
      <c r="V262" s="57">
        <v>-21078.84</v>
      </c>
      <c r="X262" s="55"/>
      <c r="Y262" s="55"/>
      <c r="Z262" s="55"/>
    </row>
    <row r="263" spans="1:26" ht="15.75" customHeight="1" x14ac:dyDescent="0.3">
      <c r="A263" s="57" t="s">
        <v>194</v>
      </c>
      <c r="B263" s="57" t="s">
        <v>309</v>
      </c>
      <c r="C263" s="58" t="s">
        <v>1221</v>
      </c>
      <c r="D263" s="58" t="s">
        <v>1257</v>
      </c>
      <c r="E263" s="59" t="s">
        <v>1258</v>
      </c>
      <c r="F263" s="55" t="s">
        <v>194</v>
      </c>
      <c r="G263" s="55" t="s">
        <v>309</v>
      </c>
      <c r="H263" t="s">
        <v>357</v>
      </c>
      <c r="I263" t="s">
        <v>180</v>
      </c>
      <c r="J263" t="s">
        <v>180</v>
      </c>
      <c r="K263" s="69">
        <v>22221000014</v>
      </c>
      <c r="L263" s="69" t="s">
        <v>486</v>
      </c>
      <c r="M263" s="57">
        <v>-27794.44</v>
      </c>
      <c r="N263" s="57">
        <v>-3439.15</v>
      </c>
      <c r="O263" s="57">
        <v>-9765.85</v>
      </c>
      <c r="Q263">
        <v>220</v>
      </c>
      <c r="R263" t="s">
        <v>909</v>
      </c>
      <c r="T263" s="57">
        <v>-27794.44</v>
      </c>
      <c r="U263" s="57">
        <v>-3439.15</v>
      </c>
      <c r="V263" s="57">
        <v>-9765.85</v>
      </c>
      <c r="X263" s="55"/>
      <c r="Y263" s="55"/>
      <c r="Z263" s="55"/>
    </row>
    <row r="264" spans="1:26" ht="15.75" customHeight="1" x14ac:dyDescent="0.3">
      <c r="A264" s="57" t="s">
        <v>194</v>
      </c>
      <c r="B264" s="57" t="s">
        <v>309</v>
      </c>
      <c r="C264" s="58" t="s">
        <v>1221</v>
      </c>
      <c r="D264" s="58" t="s">
        <v>1257</v>
      </c>
      <c r="E264" s="59" t="s">
        <v>1258</v>
      </c>
      <c r="F264" s="55" t="s">
        <v>194</v>
      </c>
      <c r="G264" s="55" t="s">
        <v>309</v>
      </c>
      <c r="H264" t="s">
        <v>357</v>
      </c>
      <c r="I264" t="s">
        <v>180</v>
      </c>
      <c r="J264" t="s">
        <v>180</v>
      </c>
      <c r="K264" s="69">
        <v>22221000016</v>
      </c>
      <c r="L264" s="69" t="s">
        <v>487</v>
      </c>
      <c r="M264" s="57">
        <v>-3241.59</v>
      </c>
      <c r="N264" s="57">
        <v>-580.80999999999995</v>
      </c>
      <c r="O264" s="57">
        <v>-30.6</v>
      </c>
      <c r="Q264">
        <v>220</v>
      </c>
      <c r="R264" t="s">
        <v>909</v>
      </c>
      <c r="T264" s="57">
        <v>-3241.59</v>
      </c>
      <c r="U264" s="57">
        <v>-580.80999999999995</v>
      </c>
      <c r="V264" s="57">
        <v>-30.6</v>
      </c>
      <c r="X264" s="55"/>
      <c r="Y264" s="55"/>
      <c r="Z264" s="55"/>
    </row>
    <row r="265" spans="1:26" ht="15.75" customHeight="1" x14ac:dyDescent="0.3">
      <c r="A265" s="57" t="s">
        <v>194</v>
      </c>
      <c r="B265" s="57" t="s">
        <v>309</v>
      </c>
      <c r="C265" s="58" t="s">
        <v>1221</v>
      </c>
      <c r="D265" s="58" t="s">
        <v>1257</v>
      </c>
      <c r="E265" s="59" t="s">
        <v>1258</v>
      </c>
      <c r="F265" s="55" t="s">
        <v>194</v>
      </c>
      <c r="G265" s="55" t="s">
        <v>309</v>
      </c>
      <c r="H265" t="s">
        <v>357</v>
      </c>
      <c r="I265" t="s">
        <v>180</v>
      </c>
      <c r="J265" t="s">
        <v>180</v>
      </c>
      <c r="K265" s="69">
        <v>22221000018</v>
      </c>
      <c r="L265" s="69" t="s">
        <v>488</v>
      </c>
      <c r="M265" s="57">
        <v>-27707.59</v>
      </c>
      <c r="N265" s="57">
        <v>-7772.23</v>
      </c>
      <c r="O265" s="57">
        <v>0</v>
      </c>
      <c r="Q265">
        <v>220</v>
      </c>
      <c r="R265" t="s">
        <v>909</v>
      </c>
      <c r="T265" s="57">
        <v>-27707.59</v>
      </c>
      <c r="U265" s="57">
        <v>-7772.23</v>
      </c>
      <c r="V265" s="57">
        <v>0</v>
      </c>
      <c r="X265" s="55"/>
      <c r="Y265" s="55"/>
      <c r="Z265" s="55"/>
    </row>
    <row r="266" spans="1:26" ht="15.75" customHeight="1" x14ac:dyDescent="0.3">
      <c r="A266" s="57" t="s">
        <v>194</v>
      </c>
      <c r="B266" s="57" t="s">
        <v>309</v>
      </c>
      <c r="C266" s="58" t="s">
        <v>1221</v>
      </c>
      <c r="D266" s="58" t="s">
        <v>1257</v>
      </c>
      <c r="E266" s="59" t="s">
        <v>1258</v>
      </c>
      <c r="F266" s="55" t="s">
        <v>194</v>
      </c>
      <c r="G266" s="55" t="s">
        <v>309</v>
      </c>
      <c r="H266" t="s">
        <v>357</v>
      </c>
      <c r="I266" t="s">
        <v>180</v>
      </c>
      <c r="J266" t="s">
        <v>180</v>
      </c>
      <c r="K266" s="69">
        <v>22221000021</v>
      </c>
      <c r="L266" s="69" t="s">
        <v>489</v>
      </c>
      <c r="M266" s="57">
        <v>-8116.73</v>
      </c>
      <c r="N266" s="57">
        <v>-211.66</v>
      </c>
      <c r="O266" s="57">
        <v>-192.78</v>
      </c>
      <c r="Q266">
        <v>220</v>
      </c>
      <c r="R266" t="s">
        <v>910</v>
      </c>
      <c r="T266" s="57">
        <v>-8116.73</v>
      </c>
      <c r="U266" s="57">
        <v>-211.66</v>
      </c>
      <c r="V266" s="57">
        <v>-192.78</v>
      </c>
      <c r="X266" s="55"/>
      <c r="Y266" s="55"/>
      <c r="Z266" s="55"/>
    </row>
    <row r="267" spans="1:26" ht="15.75" customHeight="1" x14ac:dyDescent="0.3">
      <c r="A267" s="57" t="s">
        <v>194</v>
      </c>
      <c r="B267" s="57" t="s">
        <v>309</v>
      </c>
      <c r="C267" s="58" t="s">
        <v>1221</v>
      </c>
      <c r="D267" s="58" t="s">
        <v>1257</v>
      </c>
      <c r="E267" s="59" t="s">
        <v>1258</v>
      </c>
      <c r="F267" s="55" t="s">
        <v>194</v>
      </c>
      <c r="G267" s="55" t="s">
        <v>309</v>
      </c>
      <c r="H267" t="s">
        <v>357</v>
      </c>
      <c r="I267" t="s">
        <v>180</v>
      </c>
      <c r="J267" t="s">
        <v>180</v>
      </c>
      <c r="K267" s="69">
        <v>22221000022</v>
      </c>
      <c r="L267" s="69" t="s">
        <v>490</v>
      </c>
      <c r="M267" s="57">
        <v>-993.5</v>
      </c>
      <c r="N267" s="57">
        <v>-818.21</v>
      </c>
      <c r="O267" s="57">
        <v>-610.25</v>
      </c>
      <c r="Q267">
        <v>220</v>
      </c>
      <c r="R267" t="s">
        <v>909</v>
      </c>
      <c r="T267" s="57">
        <v>-993.5</v>
      </c>
      <c r="U267" s="57">
        <v>-818.21</v>
      </c>
      <c r="V267" s="57">
        <v>-610.25</v>
      </c>
      <c r="X267" s="55"/>
      <c r="Y267" s="55"/>
      <c r="Z267" s="55"/>
    </row>
    <row r="268" spans="1:26" ht="15.75" customHeight="1" x14ac:dyDescent="0.3">
      <c r="A268" s="57" t="s">
        <v>194</v>
      </c>
      <c r="B268" s="57" t="s">
        <v>309</v>
      </c>
      <c r="C268" s="58" t="s">
        <v>1221</v>
      </c>
      <c r="D268" s="58" t="s">
        <v>1257</v>
      </c>
      <c r="E268" s="59" t="s">
        <v>1258</v>
      </c>
      <c r="F268" s="55" t="s">
        <v>194</v>
      </c>
      <c r="G268" s="55" t="s">
        <v>309</v>
      </c>
      <c r="H268" s="64" t="s">
        <v>357</v>
      </c>
      <c r="I268" s="64" t="s">
        <v>180</v>
      </c>
      <c r="J268" s="64" t="s">
        <v>180</v>
      </c>
      <c r="K268" s="69">
        <v>22221000023</v>
      </c>
      <c r="L268" s="69" t="s">
        <v>491</v>
      </c>
      <c r="M268" s="57">
        <v>-13905.53</v>
      </c>
      <c r="N268" s="57">
        <v>-10429.17</v>
      </c>
      <c r="O268" s="57">
        <v>-6952.81</v>
      </c>
      <c r="Q268">
        <v>220</v>
      </c>
      <c r="R268" t="s">
        <v>907</v>
      </c>
      <c r="T268" s="57">
        <v>-13905.53</v>
      </c>
      <c r="U268" s="57">
        <v>-10429.17</v>
      </c>
      <c r="V268" s="57">
        <v>-6952.81</v>
      </c>
      <c r="X268" s="55"/>
      <c r="Y268" s="55"/>
      <c r="Z268" s="55"/>
    </row>
    <row r="269" spans="1:26" ht="15.75" customHeight="1" x14ac:dyDescent="0.3">
      <c r="A269" s="57" t="s">
        <v>194</v>
      </c>
      <c r="B269" s="57" t="s">
        <v>309</v>
      </c>
      <c r="C269" s="58" t="s">
        <v>1221</v>
      </c>
      <c r="D269" s="58" t="s">
        <v>1257</v>
      </c>
      <c r="E269" s="59" t="s">
        <v>1258</v>
      </c>
      <c r="F269" s="55" t="s">
        <v>194</v>
      </c>
      <c r="G269" s="55" t="s">
        <v>309</v>
      </c>
      <c r="H269" s="64" t="s">
        <v>357</v>
      </c>
      <c r="I269" s="64" t="s">
        <v>180</v>
      </c>
      <c r="J269" s="64" t="s">
        <v>180</v>
      </c>
      <c r="K269" s="69">
        <v>22221000024</v>
      </c>
      <c r="L269" s="69" t="s">
        <v>492</v>
      </c>
      <c r="M269" s="57">
        <v>0</v>
      </c>
      <c r="N269" s="57">
        <v>-5827.77</v>
      </c>
      <c r="O269" s="57">
        <v>-3208.41</v>
      </c>
      <c r="Q269">
        <v>220</v>
      </c>
      <c r="R269" t="s">
        <v>910</v>
      </c>
      <c r="T269" s="57">
        <v>0</v>
      </c>
      <c r="U269" s="57">
        <v>-5827.77</v>
      </c>
      <c r="V269" s="57">
        <v>-3208.41</v>
      </c>
      <c r="X269" s="55"/>
      <c r="Y269" s="55"/>
      <c r="Z269" s="55"/>
    </row>
    <row r="270" spans="1:26" ht="15.75" customHeight="1" x14ac:dyDescent="0.3">
      <c r="A270" s="57" t="s">
        <v>194</v>
      </c>
      <c r="B270" s="57" t="s">
        <v>309</v>
      </c>
      <c r="C270" s="58" t="s">
        <v>1221</v>
      </c>
      <c r="D270" s="58" t="s">
        <v>1257</v>
      </c>
      <c r="E270" s="59" t="s">
        <v>1258</v>
      </c>
      <c r="F270" s="55" t="s">
        <v>194</v>
      </c>
      <c r="G270" s="55" t="s">
        <v>309</v>
      </c>
      <c r="H270" s="64" t="s">
        <v>357</v>
      </c>
      <c r="I270" s="64" t="s">
        <v>180</v>
      </c>
      <c r="J270" s="64" t="s">
        <v>180</v>
      </c>
      <c r="K270" s="69">
        <v>22221000025</v>
      </c>
      <c r="L270" s="69" t="s">
        <v>493</v>
      </c>
      <c r="M270" s="57">
        <v>-124128.8</v>
      </c>
      <c r="N270" s="57">
        <v>-170778.34</v>
      </c>
      <c r="O270" s="57">
        <v>-153269.65</v>
      </c>
      <c r="Q270">
        <v>220</v>
      </c>
      <c r="R270" t="s">
        <v>910</v>
      </c>
      <c r="T270" s="57">
        <v>-124128.8</v>
      </c>
      <c r="U270" s="57">
        <v>-170778.34</v>
      </c>
      <c r="V270" s="57">
        <v>-153269.65</v>
      </c>
      <c r="X270" s="55"/>
      <c r="Y270" s="55"/>
      <c r="Z270" s="55"/>
    </row>
    <row r="271" spans="1:26" ht="15.75" customHeight="1" x14ac:dyDescent="0.3">
      <c r="A271" s="57" t="s">
        <v>194</v>
      </c>
      <c r="B271" s="57" t="s">
        <v>309</v>
      </c>
      <c r="C271" s="58" t="s">
        <v>1221</v>
      </c>
      <c r="D271" s="58" t="s">
        <v>1257</v>
      </c>
      <c r="E271" s="59" t="s">
        <v>1258</v>
      </c>
      <c r="F271" s="55" t="s">
        <v>194</v>
      </c>
      <c r="G271" s="55" t="s">
        <v>309</v>
      </c>
      <c r="H271" s="64" t="s">
        <v>357</v>
      </c>
      <c r="I271" s="64" t="s">
        <v>180</v>
      </c>
      <c r="J271" s="64" t="s">
        <v>180</v>
      </c>
      <c r="K271" s="69">
        <v>22221000026</v>
      </c>
      <c r="L271" s="69" t="s">
        <v>494</v>
      </c>
      <c r="M271" s="57">
        <v>-50146.91</v>
      </c>
      <c r="N271" s="57">
        <v>-30088.23</v>
      </c>
      <c r="O271" s="57">
        <v>-10029.549999999999</v>
      </c>
      <c r="Q271">
        <v>220</v>
      </c>
      <c r="R271" t="s">
        <v>907</v>
      </c>
      <c r="T271" s="57">
        <v>-50146.91</v>
      </c>
      <c r="U271" s="57">
        <v>-30088.23</v>
      </c>
      <c r="V271" s="57">
        <v>-10029.549999999999</v>
      </c>
      <c r="X271" s="55"/>
      <c r="Y271" s="55"/>
      <c r="Z271" s="55"/>
    </row>
    <row r="272" spans="1:26" ht="15.75" customHeight="1" x14ac:dyDescent="0.3">
      <c r="A272" s="57" t="s">
        <v>194</v>
      </c>
      <c r="B272" s="57" t="s">
        <v>309</v>
      </c>
      <c r="C272" s="58" t="s">
        <v>1221</v>
      </c>
      <c r="D272" s="58" t="s">
        <v>1257</v>
      </c>
      <c r="E272" s="59" t="s">
        <v>1258</v>
      </c>
      <c r="F272" s="55" t="s">
        <v>194</v>
      </c>
      <c r="G272" s="55" t="s">
        <v>309</v>
      </c>
      <c r="H272" s="64" t="s">
        <v>357</v>
      </c>
      <c r="I272" s="64" t="s">
        <v>180</v>
      </c>
      <c r="J272" s="64" t="s">
        <v>180</v>
      </c>
      <c r="K272" s="69">
        <v>22221000027</v>
      </c>
      <c r="L272" s="69" t="s">
        <v>495</v>
      </c>
      <c r="M272" s="57">
        <v>-247405.62</v>
      </c>
      <c r="N272" s="57">
        <v>-148443.42000000001</v>
      </c>
      <c r="O272" s="57">
        <v>-49481.22</v>
      </c>
      <c r="Q272">
        <v>220</v>
      </c>
      <c r="R272" t="s">
        <v>907</v>
      </c>
      <c r="T272" s="57">
        <v>-247405.62</v>
      </c>
      <c r="U272" s="57">
        <v>-148443.42000000001</v>
      </c>
      <c r="V272" s="57">
        <v>-49481.22</v>
      </c>
      <c r="X272" s="55"/>
      <c r="Y272" s="55"/>
      <c r="Z272" s="55"/>
    </row>
    <row r="273" spans="1:26" ht="15.75" customHeight="1" x14ac:dyDescent="0.3">
      <c r="A273" s="57" t="s">
        <v>194</v>
      </c>
      <c r="B273" s="57" t="s">
        <v>309</v>
      </c>
      <c r="C273" s="58" t="s">
        <v>1221</v>
      </c>
      <c r="D273" s="58" t="s">
        <v>1257</v>
      </c>
      <c r="E273" s="59" t="s">
        <v>1258</v>
      </c>
      <c r="F273" s="55" t="s">
        <v>194</v>
      </c>
      <c r="G273" s="55" t="s">
        <v>309</v>
      </c>
      <c r="H273" s="64" t="s">
        <v>357</v>
      </c>
      <c r="I273" s="64" t="s">
        <v>180</v>
      </c>
      <c r="J273" s="64" t="s">
        <v>180</v>
      </c>
      <c r="K273" s="69">
        <v>22221000028</v>
      </c>
      <c r="L273" s="69" t="s">
        <v>496</v>
      </c>
      <c r="M273" s="57">
        <v>0</v>
      </c>
      <c r="N273" s="57">
        <v>-6292.21</v>
      </c>
      <c r="O273" s="57">
        <v>-4811.6899999999996</v>
      </c>
      <c r="Q273">
        <v>220</v>
      </c>
      <c r="R273" t="s">
        <v>907</v>
      </c>
      <c r="T273" s="57">
        <v>0</v>
      </c>
      <c r="U273" s="57">
        <v>-6292.21</v>
      </c>
      <c r="V273" s="57">
        <v>-4811.6899999999996</v>
      </c>
      <c r="X273" s="55"/>
      <c r="Y273" s="55"/>
      <c r="Z273" s="55"/>
    </row>
    <row r="274" spans="1:26" ht="15.75" customHeight="1" x14ac:dyDescent="0.3">
      <c r="A274" s="57" t="s">
        <v>194</v>
      </c>
      <c r="B274" s="57" t="s">
        <v>309</v>
      </c>
      <c r="C274" s="58" t="s">
        <v>1221</v>
      </c>
      <c r="D274" s="58" t="s">
        <v>1257</v>
      </c>
      <c r="E274" s="59" t="s">
        <v>1258</v>
      </c>
      <c r="F274" s="55" t="s">
        <v>194</v>
      </c>
      <c r="G274" s="55" t="s">
        <v>309</v>
      </c>
      <c r="H274" s="64" t="s">
        <v>357</v>
      </c>
      <c r="I274" s="64" t="s">
        <v>180</v>
      </c>
      <c r="J274" s="64" t="s">
        <v>180</v>
      </c>
      <c r="K274" s="69">
        <v>22221000029</v>
      </c>
      <c r="L274" s="69" t="s">
        <v>497</v>
      </c>
      <c r="M274" s="57">
        <v>0</v>
      </c>
      <c r="N274" s="57">
        <v>-6621.71</v>
      </c>
      <c r="O274" s="57">
        <v>-2201.7600000000002</v>
      </c>
      <c r="Q274">
        <v>220</v>
      </c>
      <c r="R274" t="s">
        <v>910</v>
      </c>
      <c r="T274" s="57">
        <v>0</v>
      </c>
      <c r="U274" s="57">
        <v>-6621.71</v>
      </c>
      <c r="V274" s="57">
        <v>-2201.7600000000002</v>
      </c>
      <c r="X274" s="55"/>
      <c r="Y274" s="55"/>
      <c r="Z274" s="55"/>
    </row>
    <row r="275" spans="1:26" ht="15.75" customHeight="1" x14ac:dyDescent="0.3">
      <c r="A275" s="57" t="s">
        <v>194</v>
      </c>
      <c r="B275" s="57" t="s">
        <v>309</v>
      </c>
      <c r="C275" s="58" t="s">
        <v>1221</v>
      </c>
      <c r="D275" s="58" t="s">
        <v>1257</v>
      </c>
      <c r="E275" s="59" t="s">
        <v>1258</v>
      </c>
      <c r="F275" s="55" t="s">
        <v>194</v>
      </c>
      <c r="G275" s="55" t="s">
        <v>309</v>
      </c>
      <c r="H275" s="64" t="s">
        <v>357</v>
      </c>
      <c r="I275" s="64" t="s">
        <v>180</v>
      </c>
      <c r="J275" s="64" t="s">
        <v>180</v>
      </c>
      <c r="K275" s="69">
        <v>22221000030</v>
      </c>
      <c r="L275" s="69" t="s">
        <v>498</v>
      </c>
      <c r="M275" s="57">
        <v>0</v>
      </c>
      <c r="N275" s="57">
        <v>-9232.81</v>
      </c>
      <c r="O275" s="57">
        <v>-6921.72</v>
      </c>
      <c r="Q275">
        <v>220</v>
      </c>
      <c r="R275" t="s">
        <v>910</v>
      </c>
      <c r="T275" s="57">
        <v>0</v>
      </c>
      <c r="U275" s="57">
        <v>-9232.81</v>
      </c>
      <c r="V275" s="57">
        <v>-6921.72</v>
      </c>
      <c r="X275" s="55"/>
      <c r="Y275" s="55"/>
      <c r="Z275" s="55"/>
    </row>
    <row r="276" spans="1:26" ht="15.75" customHeight="1" x14ac:dyDescent="0.3">
      <c r="A276" s="57" t="s">
        <v>194</v>
      </c>
      <c r="B276" s="57" t="s">
        <v>309</v>
      </c>
      <c r="C276" s="58" t="s">
        <v>1221</v>
      </c>
      <c r="D276" s="58" t="s">
        <v>1257</v>
      </c>
      <c r="E276" s="59" t="s">
        <v>1258</v>
      </c>
      <c r="F276" s="55" t="s">
        <v>194</v>
      </c>
      <c r="G276" s="55" t="s">
        <v>309</v>
      </c>
      <c r="H276" s="64" t="s">
        <v>357</v>
      </c>
      <c r="I276" s="64" t="s">
        <v>180</v>
      </c>
      <c r="J276" s="64" t="s">
        <v>180</v>
      </c>
      <c r="K276" s="69">
        <v>22221000031</v>
      </c>
      <c r="L276" s="69" t="s">
        <v>499</v>
      </c>
      <c r="M276" s="57">
        <v>0</v>
      </c>
      <c r="N276" s="57">
        <v>0</v>
      </c>
      <c r="O276" s="57">
        <v>-9302.4</v>
      </c>
      <c r="Q276">
        <v>220</v>
      </c>
      <c r="R276" t="s">
        <v>910</v>
      </c>
      <c r="T276" s="57">
        <v>0</v>
      </c>
      <c r="U276" s="57">
        <v>0</v>
      </c>
      <c r="V276" s="57">
        <v>-9302.4</v>
      </c>
      <c r="X276" s="55"/>
      <c r="Y276" s="55"/>
      <c r="Z276" s="55"/>
    </row>
    <row r="277" spans="1:26" ht="15.75" customHeight="1" x14ac:dyDescent="0.3">
      <c r="A277" s="57" t="s">
        <v>194</v>
      </c>
      <c r="B277" s="57" t="s">
        <v>309</v>
      </c>
      <c r="C277" s="58" t="s">
        <v>1221</v>
      </c>
      <c r="D277" s="58" t="s">
        <v>1257</v>
      </c>
      <c r="E277" s="59" t="s">
        <v>1258</v>
      </c>
      <c r="F277" s="55" t="s">
        <v>194</v>
      </c>
      <c r="G277" s="55" t="s">
        <v>309</v>
      </c>
      <c r="H277" s="64" t="s">
        <v>357</v>
      </c>
      <c r="I277" s="64" t="s">
        <v>180</v>
      </c>
      <c r="J277" s="64" t="s">
        <v>180</v>
      </c>
      <c r="K277" s="69">
        <v>22221000032</v>
      </c>
      <c r="L277" s="69" t="s">
        <v>500</v>
      </c>
      <c r="M277" s="57">
        <v>0</v>
      </c>
      <c r="N277" s="57">
        <v>0</v>
      </c>
      <c r="O277" s="57">
        <v>-15325.03</v>
      </c>
      <c r="Q277">
        <v>220</v>
      </c>
      <c r="R277" t="s">
        <v>910</v>
      </c>
      <c r="T277" s="57">
        <v>0</v>
      </c>
      <c r="U277" s="57">
        <v>0</v>
      </c>
      <c r="V277" s="57">
        <v>-15325.03</v>
      </c>
      <c r="X277" s="55"/>
      <c r="Y277" s="55"/>
      <c r="Z277" s="55"/>
    </row>
    <row r="278" spans="1:26" ht="15.75" customHeight="1" x14ac:dyDescent="0.3">
      <c r="A278" s="57" t="s">
        <v>194</v>
      </c>
      <c r="B278" s="57" t="s">
        <v>309</v>
      </c>
      <c r="C278" s="58" t="s">
        <v>1221</v>
      </c>
      <c r="D278" s="58" t="s">
        <v>1257</v>
      </c>
      <c r="E278" s="59" t="s">
        <v>1258</v>
      </c>
      <c r="F278" s="55" t="s">
        <v>194</v>
      </c>
      <c r="G278" s="55" t="s">
        <v>309</v>
      </c>
      <c r="H278" s="64" t="s">
        <v>357</v>
      </c>
      <c r="I278" s="64" t="s">
        <v>180</v>
      </c>
      <c r="J278" s="64" t="s">
        <v>180</v>
      </c>
      <c r="K278" s="69">
        <v>22221000033</v>
      </c>
      <c r="L278" s="69" t="s">
        <v>501</v>
      </c>
      <c r="M278" s="57">
        <v>0</v>
      </c>
      <c r="N278" s="57">
        <v>0</v>
      </c>
      <c r="O278" s="57">
        <v>-103803.3</v>
      </c>
      <c r="Q278">
        <v>220</v>
      </c>
      <c r="R278" t="s">
        <v>907</v>
      </c>
      <c r="T278" s="57">
        <v>0</v>
      </c>
      <c r="U278" s="57">
        <v>0</v>
      </c>
      <c r="V278" s="57">
        <v>-103803.3</v>
      </c>
      <c r="X278" s="55"/>
      <c r="Y278" s="55"/>
      <c r="Z278" s="55"/>
    </row>
    <row r="279" spans="1:26" ht="15.75" customHeight="1" x14ac:dyDescent="0.3">
      <c r="A279" s="57" t="s">
        <v>194</v>
      </c>
      <c r="B279" s="57" t="s">
        <v>309</v>
      </c>
      <c r="C279" s="58" t="s">
        <v>1221</v>
      </c>
      <c r="D279" s="58" t="s">
        <v>1257</v>
      </c>
      <c r="E279" s="59" t="s">
        <v>1258</v>
      </c>
      <c r="F279" s="55" t="s">
        <v>194</v>
      </c>
      <c r="G279" s="55" t="s">
        <v>309</v>
      </c>
      <c r="H279" s="64" t="s">
        <v>357</v>
      </c>
      <c r="I279" s="64" t="s">
        <v>180</v>
      </c>
      <c r="J279" s="64" t="s">
        <v>180</v>
      </c>
      <c r="K279" s="69">
        <v>22221000034</v>
      </c>
      <c r="L279" s="69" t="s">
        <v>502</v>
      </c>
      <c r="M279" s="57">
        <v>0</v>
      </c>
      <c r="N279" s="57">
        <v>0</v>
      </c>
      <c r="O279" s="57">
        <v>-8822.27</v>
      </c>
      <c r="Q279">
        <v>220</v>
      </c>
      <c r="R279" t="s">
        <v>910</v>
      </c>
      <c r="T279" s="57">
        <v>0</v>
      </c>
      <c r="U279" s="57">
        <v>0</v>
      </c>
      <c r="V279" s="57">
        <v>-8822.27</v>
      </c>
      <c r="X279" s="55"/>
      <c r="Y279" s="55"/>
      <c r="Z279" s="55"/>
    </row>
    <row r="280" spans="1:26" ht="15.75" customHeight="1" x14ac:dyDescent="0.3">
      <c r="A280" s="57" t="s">
        <v>194</v>
      </c>
      <c r="B280" s="57" t="s">
        <v>309</v>
      </c>
      <c r="C280" s="58" t="s">
        <v>1221</v>
      </c>
      <c r="D280" s="58" t="s">
        <v>1257</v>
      </c>
      <c r="E280" s="59" t="s">
        <v>1258</v>
      </c>
      <c r="F280" s="55" t="s">
        <v>194</v>
      </c>
      <c r="G280" s="55" t="s">
        <v>309</v>
      </c>
      <c r="H280" s="64" t="s">
        <v>357</v>
      </c>
      <c r="I280" s="64" t="s">
        <v>180</v>
      </c>
      <c r="J280" s="64" t="s">
        <v>180</v>
      </c>
      <c r="K280" s="69">
        <v>22221000020</v>
      </c>
      <c r="L280" s="69" t="s">
        <v>503</v>
      </c>
      <c r="M280" s="57">
        <v>-1202.25</v>
      </c>
      <c r="N280" s="57">
        <v>0</v>
      </c>
      <c r="O280" s="57">
        <v>0</v>
      </c>
      <c r="Q280">
        <v>220</v>
      </c>
      <c r="R280" t="s">
        <v>910</v>
      </c>
      <c r="T280" s="57">
        <v>-1202.25</v>
      </c>
      <c r="U280" s="57">
        <v>0</v>
      </c>
      <c r="V280" s="57">
        <v>0</v>
      </c>
      <c r="X280" s="55"/>
      <c r="Y280" s="55"/>
      <c r="Z280" s="55"/>
    </row>
    <row r="281" spans="1:26" ht="15.75" customHeight="1" x14ac:dyDescent="0.3">
      <c r="A281" s="57" t="s">
        <v>194</v>
      </c>
      <c r="B281" s="57" t="s">
        <v>309</v>
      </c>
      <c r="C281" s="58" t="s">
        <v>1221</v>
      </c>
      <c r="D281" s="58" t="s">
        <v>1259</v>
      </c>
      <c r="E281" s="59" t="s">
        <v>1260</v>
      </c>
      <c r="F281" s="55" t="s">
        <v>194</v>
      </c>
      <c r="G281" s="55" t="s">
        <v>309</v>
      </c>
      <c r="H281" s="64" t="s">
        <v>357</v>
      </c>
      <c r="I281" s="64" t="s">
        <v>504</v>
      </c>
      <c r="J281" s="64" t="s">
        <v>505</v>
      </c>
      <c r="K281" s="69">
        <v>22222000009</v>
      </c>
      <c r="L281" s="69" t="s">
        <v>506</v>
      </c>
      <c r="M281" s="57">
        <v>-316.27</v>
      </c>
      <c r="N281" s="57">
        <v>0</v>
      </c>
      <c r="O281" s="57">
        <v>0</v>
      </c>
      <c r="Q281">
        <v>200</v>
      </c>
      <c r="R281" t="s">
        <v>911</v>
      </c>
      <c r="T281" s="57">
        <v>-316.27</v>
      </c>
      <c r="U281" s="57">
        <v>0</v>
      </c>
      <c r="V281" s="57">
        <v>0</v>
      </c>
      <c r="X281" s="55"/>
      <c r="Y281" s="55"/>
      <c r="Z281" s="55"/>
    </row>
    <row r="282" spans="1:26" ht="15.75" customHeight="1" x14ac:dyDescent="0.3">
      <c r="A282" s="57" t="s">
        <v>194</v>
      </c>
      <c r="B282" s="57" t="s">
        <v>309</v>
      </c>
      <c r="C282" s="58" t="s">
        <v>1221</v>
      </c>
      <c r="D282" s="58" t="s">
        <v>1259</v>
      </c>
      <c r="E282" s="59" t="s">
        <v>1260</v>
      </c>
      <c r="F282" s="55" t="s">
        <v>194</v>
      </c>
      <c r="G282" s="55" t="s">
        <v>309</v>
      </c>
      <c r="H282" s="64" t="s">
        <v>357</v>
      </c>
      <c r="I282" s="64" t="s">
        <v>504</v>
      </c>
      <c r="J282" s="64" t="s">
        <v>505</v>
      </c>
      <c r="K282" s="60">
        <v>22222000001</v>
      </c>
      <c r="L282" s="60" t="s">
        <v>507</v>
      </c>
      <c r="M282" s="57">
        <v>-530715.18999999994</v>
      </c>
      <c r="N282" s="57">
        <v>-99275</v>
      </c>
      <c r="O282" s="57">
        <v>-118687.69</v>
      </c>
      <c r="Q282">
        <v>200</v>
      </c>
      <c r="R282" t="s">
        <v>911</v>
      </c>
      <c r="T282" s="57">
        <v>-530715.18999999994</v>
      </c>
      <c r="U282" s="57">
        <v>-99275</v>
      </c>
      <c r="V282" s="57">
        <v>-118687.69</v>
      </c>
      <c r="X282" s="55"/>
      <c r="Y282" s="55"/>
      <c r="Z282" s="55"/>
    </row>
    <row r="283" spans="1:26" ht="15.75" customHeight="1" x14ac:dyDescent="0.3">
      <c r="A283" s="57" t="s">
        <v>194</v>
      </c>
      <c r="B283" s="57" t="s">
        <v>309</v>
      </c>
      <c r="C283" s="58" t="s">
        <v>1221</v>
      </c>
      <c r="D283" s="58" t="s">
        <v>1259</v>
      </c>
      <c r="E283" s="59" t="s">
        <v>1260</v>
      </c>
      <c r="F283" s="55" t="s">
        <v>194</v>
      </c>
      <c r="G283" s="55" t="s">
        <v>195</v>
      </c>
      <c r="H283" s="64" t="s">
        <v>300</v>
      </c>
      <c r="I283" s="64" t="s">
        <v>317</v>
      </c>
      <c r="J283" s="64" t="s">
        <v>297</v>
      </c>
      <c r="K283" s="60">
        <v>22222000002</v>
      </c>
      <c r="L283" s="60" t="s">
        <v>342</v>
      </c>
      <c r="M283" s="57">
        <v>-1913.45</v>
      </c>
      <c r="N283" s="57">
        <v>0</v>
      </c>
      <c r="O283" s="57">
        <v>-3282.8</v>
      </c>
      <c r="Q283">
        <v>100</v>
      </c>
      <c r="R283" t="s">
        <v>917</v>
      </c>
      <c r="T283" s="57">
        <v>-1913.45</v>
      </c>
      <c r="U283" s="57">
        <v>0</v>
      </c>
      <c r="V283" s="57">
        <v>-3282.8</v>
      </c>
      <c r="X283" s="55"/>
      <c r="Y283" s="55"/>
      <c r="Z283" s="55"/>
    </row>
    <row r="284" spans="1:26" ht="15.75" customHeight="1" x14ac:dyDescent="0.3">
      <c r="A284" s="57" t="s">
        <v>194</v>
      </c>
      <c r="B284" s="57" t="s">
        <v>309</v>
      </c>
      <c r="C284" s="58" t="s">
        <v>1221</v>
      </c>
      <c r="D284" s="58" t="s">
        <v>1259</v>
      </c>
      <c r="E284" s="59" t="s">
        <v>1260</v>
      </c>
      <c r="F284" s="55" t="s">
        <v>194</v>
      </c>
      <c r="G284" s="55" t="s">
        <v>309</v>
      </c>
      <c r="H284" s="64" t="s">
        <v>357</v>
      </c>
      <c r="I284" s="64" t="s">
        <v>504</v>
      </c>
      <c r="J284" s="64" t="s">
        <v>505</v>
      </c>
      <c r="K284" s="60">
        <v>22222000003</v>
      </c>
      <c r="L284" s="60" t="s">
        <v>508</v>
      </c>
      <c r="M284" s="57">
        <v>-3219.44</v>
      </c>
      <c r="N284" s="57">
        <v>-2482.17</v>
      </c>
      <c r="O284" s="57">
        <v>-4210.4799999999996</v>
      </c>
      <c r="Q284">
        <v>200</v>
      </c>
      <c r="R284" t="s">
        <v>911</v>
      </c>
      <c r="T284" s="57">
        <v>-3219.44</v>
      </c>
      <c r="U284" s="57">
        <v>-2482.17</v>
      </c>
      <c r="V284" s="57">
        <v>-4210.4799999999996</v>
      </c>
      <c r="X284" s="55"/>
      <c r="Y284" s="55"/>
      <c r="Z284" s="55"/>
    </row>
    <row r="285" spans="1:26" ht="15.75" customHeight="1" x14ac:dyDescent="0.3">
      <c r="A285" s="57" t="s">
        <v>194</v>
      </c>
      <c r="B285" s="57" t="s">
        <v>309</v>
      </c>
      <c r="C285" s="58" t="s">
        <v>1221</v>
      </c>
      <c r="D285" s="58" t="s">
        <v>1259</v>
      </c>
      <c r="E285" s="59" t="s">
        <v>1260</v>
      </c>
      <c r="F285" s="55" t="s">
        <v>194</v>
      </c>
      <c r="G285" s="55" t="s">
        <v>309</v>
      </c>
      <c r="H285" s="64" t="s">
        <v>357</v>
      </c>
      <c r="I285" s="64" t="s">
        <v>504</v>
      </c>
      <c r="J285" s="64" t="s">
        <v>505</v>
      </c>
      <c r="K285" s="60">
        <v>22222000004</v>
      </c>
      <c r="L285" s="60" t="s">
        <v>509</v>
      </c>
      <c r="M285" s="57">
        <v>-136</v>
      </c>
      <c r="N285" s="57">
        <v>-142</v>
      </c>
      <c r="O285" s="57">
        <v>-138</v>
      </c>
      <c r="Q285">
        <v>200</v>
      </c>
      <c r="R285" t="s">
        <v>911</v>
      </c>
      <c r="T285" s="57">
        <v>-136</v>
      </c>
      <c r="U285" s="57">
        <v>-142</v>
      </c>
      <c r="V285" s="57">
        <v>-138</v>
      </c>
      <c r="X285" s="55"/>
      <c r="Y285" s="55"/>
      <c r="Z285" s="55"/>
    </row>
    <row r="286" spans="1:26" ht="15.75" customHeight="1" x14ac:dyDescent="0.3">
      <c r="A286" s="57" t="s">
        <v>194</v>
      </c>
      <c r="B286" s="57" t="s">
        <v>309</v>
      </c>
      <c r="C286" s="58" t="s">
        <v>1221</v>
      </c>
      <c r="D286" s="58" t="s">
        <v>1259</v>
      </c>
      <c r="E286" s="59" t="s">
        <v>1260</v>
      </c>
      <c r="F286" s="55" t="s">
        <v>194</v>
      </c>
      <c r="G286" s="55" t="s">
        <v>309</v>
      </c>
      <c r="H286" s="64" t="s">
        <v>357</v>
      </c>
      <c r="I286" s="64" t="s">
        <v>504</v>
      </c>
      <c r="J286" s="64" t="s">
        <v>505</v>
      </c>
      <c r="K286" s="60">
        <v>22222000005</v>
      </c>
      <c r="L286" s="60" t="s">
        <v>510</v>
      </c>
      <c r="M286" s="57">
        <v>-32830.379999999997</v>
      </c>
      <c r="N286" s="57">
        <v>-10936.38</v>
      </c>
      <c r="O286" s="57">
        <v>-5291.38</v>
      </c>
      <c r="Q286">
        <v>200</v>
      </c>
      <c r="R286" t="s">
        <v>911</v>
      </c>
      <c r="T286" s="57">
        <v>-32830.379999999997</v>
      </c>
      <c r="U286" s="57">
        <v>-10936.38</v>
      </c>
      <c r="V286" s="57">
        <v>-5291.38</v>
      </c>
      <c r="X286" s="55"/>
      <c r="Y286" s="55"/>
      <c r="Z286" s="55"/>
    </row>
    <row r="287" spans="1:26" ht="15.75" customHeight="1" x14ac:dyDescent="0.3">
      <c r="A287" s="57" t="s">
        <v>194</v>
      </c>
      <c r="B287" s="57" t="s">
        <v>309</v>
      </c>
      <c r="C287" s="58" t="s">
        <v>1221</v>
      </c>
      <c r="D287" s="58" t="s">
        <v>1259</v>
      </c>
      <c r="E287" s="59" t="s">
        <v>1260</v>
      </c>
      <c r="F287" s="55" t="s">
        <v>194</v>
      </c>
      <c r="G287" s="55" t="s">
        <v>309</v>
      </c>
      <c r="H287" s="64" t="s">
        <v>357</v>
      </c>
      <c r="I287" s="64" t="s">
        <v>504</v>
      </c>
      <c r="J287" s="64" t="s">
        <v>505</v>
      </c>
      <c r="K287" s="60">
        <v>22222000006</v>
      </c>
      <c r="L287" s="60" t="s">
        <v>511</v>
      </c>
      <c r="M287" s="57">
        <v>-297.01</v>
      </c>
      <c r="N287" s="57">
        <v>-369.55</v>
      </c>
      <c r="O287" s="57">
        <v>-375.41</v>
      </c>
      <c r="Q287">
        <v>200</v>
      </c>
      <c r="R287" t="s">
        <v>911</v>
      </c>
      <c r="T287" s="57">
        <v>-297.01</v>
      </c>
      <c r="U287" s="57">
        <v>-369.55</v>
      </c>
      <c r="V287" s="57">
        <v>-375.41</v>
      </c>
      <c r="X287" s="55"/>
      <c r="Y287" s="55"/>
      <c r="Z287" s="55"/>
    </row>
    <row r="288" spans="1:26" ht="15.75" customHeight="1" x14ac:dyDescent="0.3">
      <c r="A288" s="57" t="s">
        <v>194</v>
      </c>
      <c r="B288" s="57" t="s">
        <v>309</v>
      </c>
      <c r="C288" s="58" t="s">
        <v>1221</v>
      </c>
      <c r="D288" s="58" t="s">
        <v>1259</v>
      </c>
      <c r="E288" s="59" t="s">
        <v>1260</v>
      </c>
      <c r="F288" s="55" t="s">
        <v>194</v>
      </c>
      <c r="G288" s="55" t="s">
        <v>309</v>
      </c>
      <c r="H288" s="64" t="s">
        <v>357</v>
      </c>
      <c r="I288" s="64" t="s">
        <v>504</v>
      </c>
      <c r="J288" s="64" t="s">
        <v>505</v>
      </c>
      <c r="K288" s="60">
        <v>22222000007</v>
      </c>
      <c r="L288" s="60" t="s">
        <v>512</v>
      </c>
      <c r="M288" s="57">
        <v>-1554.31</v>
      </c>
      <c r="N288" s="57">
        <v>-775.03</v>
      </c>
      <c r="O288" s="57">
        <v>-347.33</v>
      </c>
      <c r="Q288">
        <v>200</v>
      </c>
      <c r="R288" t="s">
        <v>911</v>
      </c>
      <c r="T288" s="57">
        <v>-1554.31</v>
      </c>
      <c r="U288" s="57">
        <v>-775.03</v>
      </c>
      <c r="V288" s="57">
        <v>-347.33</v>
      </c>
      <c r="X288" s="55"/>
      <c r="Y288" s="55"/>
      <c r="Z288" s="55"/>
    </row>
    <row r="289" spans="1:26" ht="15.75" customHeight="1" x14ac:dyDescent="0.3">
      <c r="A289" s="57" t="s">
        <v>194</v>
      </c>
      <c r="B289" s="57" t="s">
        <v>309</v>
      </c>
      <c r="C289" s="58" t="s">
        <v>1221</v>
      </c>
      <c r="D289" s="58" t="s">
        <v>1259</v>
      </c>
      <c r="E289" s="59" t="s">
        <v>1260</v>
      </c>
      <c r="F289" s="55" t="s">
        <v>194</v>
      </c>
      <c r="G289" s="55" t="s">
        <v>309</v>
      </c>
      <c r="H289" s="64" t="s">
        <v>357</v>
      </c>
      <c r="I289" s="64" t="s">
        <v>504</v>
      </c>
      <c r="J289" s="64" t="s">
        <v>505</v>
      </c>
      <c r="K289" s="60">
        <v>22222000008</v>
      </c>
      <c r="L289" s="60" t="s">
        <v>513</v>
      </c>
      <c r="M289" s="57">
        <v>-114.92</v>
      </c>
      <c r="N289" s="57">
        <v>-607.14</v>
      </c>
      <c r="O289" s="57">
        <v>-482.43</v>
      </c>
      <c r="Q289">
        <v>200</v>
      </c>
      <c r="R289" t="s">
        <v>911</v>
      </c>
      <c r="T289" s="57">
        <v>-114.92</v>
      </c>
      <c r="U289" s="57">
        <v>-607.14</v>
      </c>
      <c r="V289" s="57">
        <v>-482.43</v>
      </c>
      <c r="X289" s="55"/>
      <c r="Y289" s="55"/>
      <c r="Z289" s="55"/>
    </row>
    <row r="290" spans="1:26" ht="15.75" customHeight="1" x14ac:dyDescent="0.3">
      <c r="A290" s="57" t="s">
        <v>194</v>
      </c>
      <c r="B290" s="57" t="s">
        <v>309</v>
      </c>
      <c r="C290" s="58" t="s">
        <v>1221</v>
      </c>
      <c r="D290" s="58" t="s">
        <v>1259</v>
      </c>
      <c r="E290" s="59" t="s">
        <v>1260</v>
      </c>
      <c r="F290" s="55" t="s">
        <v>194</v>
      </c>
      <c r="G290" s="55" t="s">
        <v>309</v>
      </c>
      <c r="H290" s="64" t="s">
        <v>357</v>
      </c>
      <c r="I290" s="64" t="s">
        <v>504</v>
      </c>
      <c r="J290" s="64" t="s">
        <v>505</v>
      </c>
      <c r="K290" s="60">
        <v>22222000011</v>
      </c>
      <c r="L290" s="60" t="s">
        <v>514</v>
      </c>
      <c r="M290" s="57">
        <v>-11976</v>
      </c>
      <c r="N290" s="57">
        <v>-23319</v>
      </c>
      <c r="O290" s="57">
        <v>-22510</v>
      </c>
      <c r="Q290">
        <v>200</v>
      </c>
      <c r="R290" t="s">
        <v>911</v>
      </c>
      <c r="T290" s="57">
        <v>-11976</v>
      </c>
      <c r="U290" s="57">
        <v>-23319</v>
      </c>
      <c r="V290" s="57">
        <v>-22510</v>
      </c>
      <c r="X290" s="55"/>
      <c r="Y290" s="55"/>
      <c r="Z290" s="55"/>
    </row>
    <row r="291" spans="1:26" ht="15.75" customHeight="1" x14ac:dyDescent="0.3">
      <c r="A291" s="57" t="s">
        <v>194</v>
      </c>
      <c r="B291" s="57" t="s">
        <v>309</v>
      </c>
      <c r="C291" s="58" t="s">
        <v>1221</v>
      </c>
      <c r="D291" s="58" t="s">
        <v>1259</v>
      </c>
      <c r="E291" s="59" t="s">
        <v>1260</v>
      </c>
      <c r="F291" s="55" t="s">
        <v>194</v>
      </c>
      <c r="G291" s="55" t="s">
        <v>309</v>
      </c>
      <c r="H291" s="64" t="s">
        <v>357</v>
      </c>
      <c r="I291" s="64" t="s">
        <v>504</v>
      </c>
      <c r="J291" s="64" t="s">
        <v>505</v>
      </c>
      <c r="K291" s="60">
        <v>22222000013</v>
      </c>
      <c r="L291" s="60" t="s">
        <v>515</v>
      </c>
      <c r="M291" s="57">
        <v>0</v>
      </c>
      <c r="N291" s="57">
        <v>0</v>
      </c>
      <c r="O291" s="57">
        <v>-873.64</v>
      </c>
      <c r="Q291">
        <v>200</v>
      </c>
      <c r="R291" t="s">
        <v>911</v>
      </c>
      <c r="T291" s="57">
        <v>0</v>
      </c>
      <c r="U291" s="57">
        <v>0</v>
      </c>
      <c r="V291" s="57">
        <v>-873.64</v>
      </c>
      <c r="X291" s="55"/>
      <c r="Y291" s="55"/>
      <c r="Z291" s="55"/>
    </row>
    <row r="292" spans="1:26" ht="15.75" customHeight="1" x14ac:dyDescent="0.3">
      <c r="A292" s="57" t="s">
        <v>194</v>
      </c>
      <c r="B292" s="57" t="s">
        <v>309</v>
      </c>
      <c r="C292" s="58" t="s">
        <v>1221</v>
      </c>
      <c r="D292" s="58" t="s">
        <v>1259</v>
      </c>
      <c r="E292" s="59" t="s">
        <v>1260</v>
      </c>
      <c r="F292" s="55" t="s">
        <v>194</v>
      </c>
      <c r="G292" s="55" t="s">
        <v>309</v>
      </c>
      <c r="H292" s="64" t="s">
        <v>357</v>
      </c>
      <c r="I292" s="64" t="s">
        <v>504</v>
      </c>
      <c r="J292" s="64" t="s">
        <v>505</v>
      </c>
      <c r="K292" s="60">
        <v>22222000014</v>
      </c>
      <c r="L292" s="60" t="s">
        <v>516</v>
      </c>
      <c r="M292" s="57">
        <v>0</v>
      </c>
      <c r="N292" s="57">
        <v>0</v>
      </c>
      <c r="O292" s="57">
        <v>573.67999999999995</v>
      </c>
      <c r="Q292">
        <v>200</v>
      </c>
      <c r="R292" t="s">
        <v>911</v>
      </c>
      <c r="T292" s="57">
        <v>0</v>
      </c>
      <c r="U292" s="57">
        <v>0</v>
      </c>
      <c r="V292" s="57">
        <v>573.67999999999995</v>
      </c>
      <c r="X292" s="55"/>
      <c r="Y292" s="55"/>
      <c r="Z292" s="55"/>
    </row>
    <row r="293" spans="1:26" ht="15.75" customHeight="1" x14ac:dyDescent="0.3">
      <c r="A293" s="57" t="s">
        <v>194</v>
      </c>
      <c r="B293" s="57" t="s">
        <v>309</v>
      </c>
      <c r="C293" s="58" t="s">
        <v>1221</v>
      </c>
      <c r="D293" s="58" t="s">
        <v>1259</v>
      </c>
      <c r="E293" s="59" t="s">
        <v>1260</v>
      </c>
      <c r="F293" s="55" t="s">
        <v>194</v>
      </c>
      <c r="G293" s="55" t="s">
        <v>309</v>
      </c>
      <c r="H293" s="64" t="s">
        <v>357</v>
      </c>
      <c r="I293" s="64" t="s">
        <v>504</v>
      </c>
      <c r="J293" s="64" t="s">
        <v>505</v>
      </c>
      <c r="K293" s="60">
        <v>22222000015</v>
      </c>
      <c r="L293" s="60" t="s">
        <v>517</v>
      </c>
      <c r="M293" s="57">
        <v>0</v>
      </c>
      <c r="N293" s="57">
        <v>-174036.41</v>
      </c>
      <c r="O293" s="57">
        <v>-135300</v>
      </c>
      <c r="Q293">
        <v>200</v>
      </c>
      <c r="R293" t="s">
        <v>911</v>
      </c>
      <c r="T293" s="57">
        <v>0</v>
      </c>
      <c r="U293" s="57">
        <v>-174036.41</v>
      </c>
      <c r="V293" s="57">
        <v>-135300</v>
      </c>
      <c r="X293" s="55"/>
      <c r="Y293" s="55"/>
      <c r="Z293" s="55"/>
    </row>
    <row r="294" spans="1:26" ht="15.75" customHeight="1" x14ac:dyDescent="0.3">
      <c r="A294" s="57" t="s">
        <v>194</v>
      </c>
      <c r="B294" s="57" t="s">
        <v>309</v>
      </c>
      <c r="C294" s="58" t="s">
        <v>1221</v>
      </c>
      <c r="D294" s="58" t="s">
        <v>1259</v>
      </c>
      <c r="E294" s="59" t="s">
        <v>1260</v>
      </c>
      <c r="F294" s="55" t="s">
        <v>194</v>
      </c>
      <c r="G294" s="55" t="s">
        <v>309</v>
      </c>
      <c r="H294" s="64" t="s">
        <v>357</v>
      </c>
      <c r="I294" s="64" t="s">
        <v>504</v>
      </c>
      <c r="J294" s="64" t="s">
        <v>505</v>
      </c>
      <c r="K294" s="60">
        <v>22222000016</v>
      </c>
      <c r="L294" s="60" t="s">
        <v>518</v>
      </c>
      <c r="M294" s="57">
        <v>0</v>
      </c>
      <c r="N294" s="57">
        <v>-147421</v>
      </c>
      <c r="O294" s="57">
        <v>0</v>
      </c>
      <c r="Q294">
        <v>200</v>
      </c>
      <c r="R294" t="s">
        <v>911</v>
      </c>
      <c r="T294" s="57">
        <v>0</v>
      </c>
      <c r="U294" s="57">
        <v>-147421</v>
      </c>
      <c r="V294" s="57">
        <v>0</v>
      </c>
      <c r="X294" s="55"/>
      <c r="Y294" s="55"/>
      <c r="Z294" s="55"/>
    </row>
    <row r="295" spans="1:26" ht="15.75" customHeight="1" x14ac:dyDescent="0.3">
      <c r="A295" s="57" t="s">
        <v>194</v>
      </c>
      <c r="B295" s="57" t="s">
        <v>309</v>
      </c>
      <c r="C295" s="58" t="s">
        <v>1221</v>
      </c>
      <c r="D295" s="58" t="s">
        <v>1259</v>
      </c>
      <c r="E295" s="59" t="s">
        <v>1260</v>
      </c>
      <c r="F295" s="55" t="s">
        <v>194</v>
      </c>
      <c r="G295" s="55" t="s">
        <v>309</v>
      </c>
      <c r="H295" s="64" t="s">
        <v>357</v>
      </c>
      <c r="I295" s="64" t="s">
        <v>504</v>
      </c>
      <c r="J295" s="64" t="s">
        <v>505</v>
      </c>
      <c r="K295" s="60">
        <v>22222000017</v>
      </c>
      <c r="L295" s="60" t="s">
        <v>519</v>
      </c>
      <c r="M295" s="57">
        <v>0</v>
      </c>
      <c r="N295" s="57">
        <v>0</v>
      </c>
      <c r="O295" s="57">
        <v>-270.64</v>
      </c>
      <c r="Q295">
        <v>200</v>
      </c>
      <c r="R295" t="s">
        <v>911</v>
      </c>
      <c r="T295" s="57">
        <v>0</v>
      </c>
      <c r="U295" s="57">
        <v>0</v>
      </c>
      <c r="V295" s="57">
        <v>-270.64</v>
      </c>
      <c r="X295" s="55"/>
      <c r="Y295" s="55"/>
      <c r="Z295" s="55"/>
    </row>
    <row r="296" spans="1:26" ht="15.75" customHeight="1" x14ac:dyDescent="0.3">
      <c r="A296" s="57" t="s">
        <v>194</v>
      </c>
      <c r="B296" s="57" t="s">
        <v>309</v>
      </c>
      <c r="C296" s="58" t="s">
        <v>1221</v>
      </c>
      <c r="D296" s="58" t="s">
        <v>1259</v>
      </c>
      <c r="E296" s="59" t="s">
        <v>1260</v>
      </c>
      <c r="F296" s="55" t="s">
        <v>194</v>
      </c>
      <c r="G296" s="55" t="s">
        <v>309</v>
      </c>
      <c r="H296" s="64" t="s">
        <v>357</v>
      </c>
      <c r="I296" s="64" t="s">
        <v>504</v>
      </c>
      <c r="J296" s="64" t="s">
        <v>505</v>
      </c>
      <c r="K296" s="60">
        <v>22222000061</v>
      </c>
      <c r="L296" s="60" t="s">
        <v>520</v>
      </c>
      <c r="M296" s="57">
        <v>-23650.42</v>
      </c>
      <c r="N296" s="57">
        <v>-27165.63</v>
      </c>
      <c r="O296" s="57">
        <v>-28737.14</v>
      </c>
      <c r="Q296">
        <v>200</v>
      </c>
      <c r="R296" t="s">
        <v>911</v>
      </c>
      <c r="T296" s="57">
        <v>-23650.42</v>
      </c>
      <c r="U296" s="57">
        <v>-27165.63</v>
      </c>
      <c r="V296" s="57">
        <v>-28737.14</v>
      </c>
      <c r="X296" s="55"/>
      <c r="Y296" s="55"/>
      <c r="Z296" s="55"/>
    </row>
    <row r="297" spans="1:26" ht="15.75" customHeight="1" x14ac:dyDescent="0.3">
      <c r="A297" s="57" t="s">
        <v>194</v>
      </c>
      <c r="B297" s="57" t="s">
        <v>309</v>
      </c>
      <c r="C297" s="58" t="s">
        <v>1261</v>
      </c>
      <c r="D297" s="58" t="s">
        <v>1261</v>
      </c>
      <c r="E297" s="59" t="s">
        <v>12</v>
      </c>
      <c r="F297" s="55" t="s">
        <v>194</v>
      </c>
      <c r="G297" s="55" t="s">
        <v>309</v>
      </c>
      <c r="H297" s="64" t="s">
        <v>357</v>
      </c>
      <c r="I297" s="64" t="s">
        <v>504</v>
      </c>
      <c r="J297" s="64" t="s">
        <v>522</v>
      </c>
      <c r="K297" s="60">
        <v>22223000002</v>
      </c>
      <c r="L297" s="60" t="s">
        <v>523</v>
      </c>
      <c r="M297" s="57">
        <v>-139162.6</v>
      </c>
      <c r="N297" s="57">
        <v>-164116.76</v>
      </c>
      <c r="O297" s="57">
        <v>-163154.42000000001</v>
      </c>
      <c r="Q297">
        <v>200</v>
      </c>
      <c r="R297" t="s">
        <v>912</v>
      </c>
      <c r="T297" s="57">
        <v>-139162.6</v>
      </c>
      <c r="U297" s="57">
        <v>-164116.76</v>
      </c>
      <c r="V297" s="57">
        <v>-163154.42000000001</v>
      </c>
      <c r="X297" s="55"/>
      <c r="Y297" s="55"/>
      <c r="Z297" s="55"/>
    </row>
    <row r="298" spans="1:26" ht="15.75" customHeight="1" x14ac:dyDescent="0.3">
      <c r="A298" s="57" t="s">
        <v>194</v>
      </c>
      <c r="B298" s="57" t="s">
        <v>309</v>
      </c>
      <c r="C298" s="58" t="s">
        <v>1221</v>
      </c>
      <c r="D298" s="58" t="s">
        <v>521</v>
      </c>
      <c r="E298" s="59" t="s">
        <v>1223</v>
      </c>
      <c r="F298" s="55" t="s">
        <v>194</v>
      </c>
      <c r="G298" s="55" t="s">
        <v>309</v>
      </c>
      <c r="H298" s="64" t="s">
        <v>357</v>
      </c>
      <c r="I298" s="64" t="s">
        <v>504</v>
      </c>
      <c r="J298" s="64" t="s">
        <v>129</v>
      </c>
      <c r="K298" s="58">
        <v>22223000031</v>
      </c>
      <c r="L298" s="58" t="s">
        <v>524</v>
      </c>
      <c r="M298" s="57">
        <v>-932.92</v>
      </c>
      <c r="N298" s="57">
        <v>0</v>
      </c>
      <c r="O298" s="57">
        <v>0</v>
      </c>
      <c r="Q298">
        <v>210</v>
      </c>
      <c r="R298" t="s">
        <v>900</v>
      </c>
      <c r="T298" s="57">
        <v>-932.92</v>
      </c>
      <c r="U298" s="57">
        <v>0</v>
      </c>
      <c r="V298" s="57">
        <v>0</v>
      </c>
      <c r="W298" s="55">
        <f t="shared" ref="W298:W299" si="0">+N298-U298</f>
        <v>0</v>
      </c>
    </row>
    <row r="299" spans="1:26" ht="15.75" customHeight="1" x14ac:dyDescent="0.3">
      <c r="A299" s="57" t="s">
        <v>194</v>
      </c>
      <c r="B299" s="57" t="s">
        <v>309</v>
      </c>
      <c r="C299" s="58" t="s">
        <v>1221</v>
      </c>
      <c r="D299" s="58" t="s">
        <v>521</v>
      </c>
      <c r="E299" s="59" t="s">
        <v>1223</v>
      </c>
      <c r="F299" s="55" t="s">
        <v>194</v>
      </c>
      <c r="G299" s="55" t="s">
        <v>309</v>
      </c>
      <c r="H299" s="64" t="s">
        <v>357</v>
      </c>
      <c r="I299" s="64" t="s">
        <v>504</v>
      </c>
      <c r="J299" s="64" t="s">
        <v>129</v>
      </c>
      <c r="K299" s="58">
        <v>22223000034</v>
      </c>
      <c r="L299" s="58" t="s">
        <v>525</v>
      </c>
      <c r="M299" s="57">
        <v>-393.58</v>
      </c>
      <c r="N299" s="57">
        <v>0</v>
      </c>
      <c r="O299" s="57">
        <v>0</v>
      </c>
      <c r="Q299">
        <v>210</v>
      </c>
      <c r="R299" t="s">
        <v>900</v>
      </c>
      <c r="T299" s="57">
        <v>-393.58</v>
      </c>
      <c r="U299" s="57">
        <v>0</v>
      </c>
      <c r="V299" s="57">
        <v>0</v>
      </c>
      <c r="W299" s="55">
        <f t="shared" si="0"/>
        <v>0</v>
      </c>
    </row>
    <row r="300" spans="1:26" ht="15.75" customHeight="1" x14ac:dyDescent="0.3">
      <c r="A300" s="57" t="s">
        <v>194</v>
      </c>
      <c r="B300" s="57" t="s">
        <v>309</v>
      </c>
      <c r="C300" s="58" t="s">
        <v>1221</v>
      </c>
      <c r="D300" s="58" t="s">
        <v>521</v>
      </c>
      <c r="E300" s="59" t="s">
        <v>1223</v>
      </c>
      <c r="F300" s="55" t="s">
        <v>194</v>
      </c>
      <c r="G300" s="55" t="s">
        <v>309</v>
      </c>
      <c r="H300" s="64" t="s">
        <v>357</v>
      </c>
      <c r="I300" s="64" t="s">
        <v>504</v>
      </c>
      <c r="J300" s="64" t="s">
        <v>522</v>
      </c>
      <c r="K300" s="60">
        <v>22223000003</v>
      </c>
      <c r="L300" s="60" t="s">
        <v>526</v>
      </c>
      <c r="M300" s="57">
        <v>-142757.62</v>
      </c>
      <c r="N300" s="57">
        <v>-137811.68</v>
      </c>
      <c r="O300" s="57">
        <v>-135133</v>
      </c>
      <c r="Q300">
        <v>200</v>
      </c>
      <c r="R300" t="s">
        <v>912</v>
      </c>
      <c r="T300" s="57">
        <v>-142757.62</v>
      </c>
      <c r="U300" s="57">
        <v>-137811.68</v>
      </c>
      <c r="V300" s="57">
        <v>-135133</v>
      </c>
      <c r="X300" s="55"/>
      <c r="Y300" s="55"/>
      <c r="Z300" s="55"/>
    </row>
    <row r="301" spans="1:26" ht="15.75" customHeight="1" x14ac:dyDescent="0.3">
      <c r="A301" s="57" t="s">
        <v>194</v>
      </c>
      <c r="B301" s="57" t="s">
        <v>309</v>
      </c>
      <c r="C301" s="58" t="s">
        <v>1221</v>
      </c>
      <c r="D301" s="58" t="s">
        <v>521</v>
      </c>
      <c r="E301" s="59" t="s">
        <v>1223</v>
      </c>
      <c r="F301" s="55" t="s">
        <v>194</v>
      </c>
      <c r="G301" s="55" t="s">
        <v>309</v>
      </c>
      <c r="H301" s="64" t="s">
        <v>357</v>
      </c>
      <c r="I301" s="64" t="s">
        <v>504</v>
      </c>
      <c r="J301" s="64" t="s">
        <v>129</v>
      </c>
      <c r="K301" s="60">
        <v>22223000004</v>
      </c>
      <c r="L301" s="60" t="s">
        <v>527</v>
      </c>
      <c r="M301" s="57">
        <v>0</v>
      </c>
      <c r="N301" s="57">
        <v>0</v>
      </c>
      <c r="O301" s="57">
        <v>0</v>
      </c>
      <c r="Q301">
        <v>200</v>
      </c>
      <c r="R301" t="s">
        <v>913</v>
      </c>
      <c r="T301" s="57">
        <v>0</v>
      </c>
      <c r="U301" s="57">
        <v>0</v>
      </c>
      <c r="V301" s="57">
        <v>0</v>
      </c>
      <c r="X301" s="55"/>
      <c r="Y301" s="55"/>
      <c r="Z301" s="55"/>
    </row>
    <row r="302" spans="1:26" ht="15.75" customHeight="1" x14ac:dyDescent="0.3">
      <c r="A302" s="57" t="s">
        <v>194</v>
      </c>
      <c r="B302" s="57" t="s">
        <v>309</v>
      </c>
      <c r="C302" s="58" t="s">
        <v>1221</v>
      </c>
      <c r="D302" s="58" t="s">
        <v>521</v>
      </c>
      <c r="E302" s="59" t="s">
        <v>1223</v>
      </c>
      <c r="F302" s="55" t="s">
        <v>194</v>
      </c>
      <c r="G302" s="55" t="s">
        <v>309</v>
      </c>
      <c r="H302" s="64" t="s">
        <v>357</v>
      </c>
      <c r="I302" s="64" t="s">
        <v>504</v>
      </c>
      <c r="J302" s="64" t="s">
        <v>129</v>
      </c>
      <c r="K302" s="60">
        <v>22223000008</v>
      </c>
      <c r="L302" s="60" t="s">
        <v>528</v>
      </c>
      <c r="M302" s="57">
        <v>-12857.15</v>
      </c>
      <c r="N302" s="57">
        <v>-69160.570000000007</v>
      </c>
      <c r="O302" s="57">
        <v>-120139.85</v>
      </c>
      <c r="Q302">
        <v>200</v>
      </c>
      <c r="R302" t="s">
        <v>913</v>
      </c>
      <c r="T302" s="57">
        <v>-12857.15</v>
      </c>
      <c r="U302" s="57">
        <v>-69160.570000000007</v>
      </c>
      <c r="V302" s="57">
        <v>-120139.85</v>
      </c>
      <c r="X302" s="55"/>
      <c r="Y302" s="55"/>
      <c r="Z302" s="55"/>
    </row>
    <row r="303" spans="1:26" ht="15.75" customHeight="1" x14ac:dyDescent="0.3">
      <c r="A303" s="57" t="s">
        <v>194</v>
      </c>
      <c r="B303" s="57" t="s">
        <v>309</v>
      </c>
      <c r="C303" s="58" t="s">
        <v>1221</v>
      </c>
      <c r="D303" s="58" t="s">
        <v>521</v>
      </c>
      <c r="E303" s="59" t="s">
        <v>1223</v>
      </c>
      <c r="F303" s="55" t="s">
        <v>194</v>
      </c>
      <c r="G303" s="55" t="s">
        <v>309</v>
      </c>
      <c r="H303" s="64" t="s">
        <v>357</v>
      </c>
      <c r="I303" s="64" t="s">
        <v>504</v>
      </c>
      <c r="J303" s="64" t="s">
        <v>129</v>
      </c>
      <c r="K303" s="60">
        <v>22223000009</v>
      </c>
      <c r="L303" s="60" t="s">
        <v>529</v>
      </c>
      <c r="M303" s="57">
        <v>-1142383.32</v>
      </c>
      <c r="N303" s="57">
        <v>-1142383.32</v>
      </c>
      <c r="O303" s="57">
        <v>0</v>
      </c>
      <c r="Q303">
        <v>200</v>
      </c>
      <c r="R303" t="s">
        <v>913</v>
      </c>
      <c r="T303" s="57">
        <v>-1142383.32</v>
      </c>
      <c r="U303" s="57">
        <v>-1142383.32</v>
      </c>
      <c r="V303" s="57">
        <v>0</v>
      </c>
      <c r="X303" s="55"/>
      <c r="Y303" s="55"/>
      <c r="Z303" s="55"/>
    </row>
    <row r="304" spans="1:26" ht="15.75" customHeight="1" x14ac:dyDescent="0.3">
      <c r="A304" s="57" t="s">
        <v>194</v>
      </c>
      <c r="B304" s="57" t="s">
        <v>309</v>
      </c>
      <c r="C304" s="58" t="s">
        <v>1221</v>
      </c>
      <c r="D304" s="58" t="s">
        <v>521</v>
      </c>
      <c r="E304" s="59" t="s">
        <v>1223</v>
      </c>
      <c r="F304" s="55" t="s">
        <v>194</v>
      </c>
      <c r="G304" s="55" t="s">
        <v>309</v>
      </c>
      <c r="H304" s="64" t="s">
        <v>357</v>
      </c>
      <c r="I304" s="64" t="s">
        <v>504</v>
      </c>
      <c r="J304" s="64" t="s">
        <v>129</v>
      </c>
      <c r="K304" s="60">
        <v>22223000016</v>
      </c>
      <c r="L304" s="60" t="s">
        <v>530</v>
      </c>
      <c r="M304" s="57">
        <v>-1444</v>
      </c>
      <c r="N304" s="57">
        <v>-952</v>
      </c>
      <c r="O304" s="57">
        <v>-952</v>
      </c>
      <c r="Q304">
        <v>200</v>
      </c>
      <c r="R304" t="s">
        <v>913</v>
      </c>
      <c r="T304" s="57">
        <v>-1444</v>
      </c>
      <c r="U304" s="57">
        <v>-952</v>
      </c>
      <c r="V304" s="57">
        <v>-952</v>
      </c>
      <c r="X304" s="55"/>
      <c r="Y304" s="55"/>
      <c r="Z304" s="55"/>
    </row>
    <row r="305" spans="1:26" ht="15.75" customHeight="1" x14ac:dyDescent="0.3">
      <c r="A305" s="57" t="s">
        <v>194</v>
      </c>
      <c r="B305" s="57" t="s">
        <v>309</v>
      </c>
      <c r="C305" s="58" t="s">
        <v>1221</v>
      </c>
      <c r="D305" s="58" t="s">
        <v>521</v>
      </c>
      <c r="E305" s="59" t="s">
        <v>1223</v>
      </c>
      <c r="F305" s="55" t="s">
        <v>194</v>
      </c>
      <c r="G305" s="55" t="s">
        <v>309</v>
      </c>
      <c r="H305" s="64" t="s">
        <v>357</v>
      </c>
      <c r="I305" s="64" t="s">
        <v>504</v>
      </c>
      <c r="J305" s="64" t="s">
        <v>129</v>
      </c>
      <c r="K305" s="60">
        <v>22223000017</v>
      </c>
      <c r="L305" s="60" t="s">
        <v>531</v>
      </c>
      <c r="M305" s="57">
        <v>-9356.33</v>
      </c>
      <c r="N305" s="57">
        <v>-14803.13</v>
      </c>
      <c r="O305" s="57">
        <v>0</v>
      </c>
      <c r="Q305">
        <v>200</v>
      </c>
      <c r="R305" t="s">
        <v>913</v>
      </c>
      <c r="T305" s="57">
        <v>-9356.33</v>
      </c>
      <c r="U305" s="57">
        <v>-14803.13</v>
      </c>
      <c r="V305" s="57">
        <v>0</v>
      </c>
      <c r="X305" s="55"/>
      <c r="Y305" s="55"/>
      <c r="Z305" s="55"/>
    </row>
    <row r="306" spans="1:26" ht="15.75" customHeight="1" x14ac:dyDescent="0.3">
      <c r="A306" s="57" t="s">
        <v>194</v>
      </c>
      <c r="B306" s="57" t="s">
        <v>309</v>
      </c>
      <c r="C306" s="58" t="s">
        <v>1221</v>
      </c>
      <c r="D306" s="58" t="s">
        <v>521</v>
      </c>
      <c r="E306" s="59" t="s">
        <v>1223</v>
      </c>
      <c r="F306" s="55" t="s">
        <v>194</v>
      </c>
      <c r="G306" s="55" t="s">
        <v>195</v>
      </c>
      <c r="H306" s="64" t="s">
        <v>300</v>
      </c>
      <c r="I306" s="64" t="s">
        <v>317</v>
      </c>
      <c r="J306" s="64" t="s">
        <v>297</v>
      </c>
      <c r="K306" s="60">
        <v>22223000021</v>
      </c>
      <c r="L306" s="60" t="s">
        <v>343</v>
      </c>
      <c r="M306" s="57">
        <v>0</v>
      </c>
      <c r="N306" s="57">
        <v>0</v>
      </c>
      <c r="O306" s="57">
        <v>-6390.3</v>
      </c>
      <c r="Q306">
        <v>100</v>
      </c>
      <c r="R306" t="s">
        <v>917</v>
      </c>
      <c r="T306" s="57">
        <v>0</v>
      </c>
      <c r="U306" s="57">
        <v>0</v>
      </c>
      <c r="V306" s="57">
        <v>-6390.3</v>
      </c>
      <c r="X306" s="55"/>
      <c r="Y306" s="55"/>
      <c r="Z306" s="55"/>
    </row>
    <row r="307" spans="1:26" ht="15.75" customHeight="1" x14ac:dyDescent="0.3">
      <c r="A307" s="57" t="s">
        <v>194</v>
      </c>
      <c r="B307" s="57" t="s">
        <v>309</v>
      </c>
      <c r="C307" s="58" t="s">
        <v>1221</v>
      </c>
      <c r="D307" s="58" t="s">
        <v>521</v>
      </c>
      <c r="E307" s="59" t="s">
        <v>1223</v>
      </c>
      <c r="F307" s="55" t="s">
        <v>194</v>
      </c>
      <c r="G307" s="55" t="s">
        <v>309</v>
      </c>
      <c r="H307" s="64" t="s">
        <v>357</v>
      </c>
      <c r="I307" s="64" t="s">
        <v>504</v>
      </c>
      <c r="J307" s="64" t="s">
        <v>522</v>
      </c>
      <c r="K307" s="60">
        <v>22223000024</v>
      </c>
      <c r="L307" s="60" t="s">
        <v>532</v>
      </c>
      <c r="M307" s="57">
        <v>-14710.48</v>
      </c>
      <c r="N307" s="57">
        <v>-16999.7</v>
      </c>
      <c r="O307" s="57">
        <v>-17076.009999999998</v>
      </c>
      <c r="Q307">
        <v>200</v>
      </c>
      <c r="R307" t="s">
        <v>912</v>
      </c>
      <c r="T307" s="57">
        <v>-14710.48</v>
      </c>
      <c r="U307" s="57">
        <v>-16999.7</v>
      </c>
      <c r="V307" s="57">
        <v>-17076.009999999998</v>
      </c>
      <c r="X307" s="55"/>
      <c r="Y307" s="55"/>
      <c r="Z307" s="55"/>
    </row>
    <row r="308" spans="1:26" ht="15.75" customHeight="1" x14ac:dyDescent="0.3">
      <c r="A308" s="57" t="s">
        <v>194</v>
      </c>
      <c r="B308" s="57" t="s">
        <v>309</v>
      </c>
      <c r="C308" s="58" t="s">
        <v>1221</v>
      </c>
      <c r="D308" s="58" t="s">
        <v>521</v>
      </c>
      <c r="E308" s="59" t="s">
        <v>1223</v>
      </c>
      <c r="F308" s="55" t="s">
        <v>194</v>
      </c>
      <c r="G308" s="55" t="s">
        <v>309</v>
      </c>
      <c r="H308" s="64" t="s">
        <v>357</v>
      </c>
      <c r="I308" s="64" t="s">
        <v>504</v>
      </c>
      <c r="J308" s="64" t="s">
        <v>129</v>
      </c>
      <c r="K308" s="60">
        <v>22223000026</v>
      </c>
      <c r="L308" s="60" t="s">
        <v>533</v>
      </c>
      <c r="M308" s="57">
        <v>-13356.55</v>
      </c>
      <c r="N308" s="57">
        <v>-18752.599999999999</v>
      </c>
      <c r="O308" s="57">
        <v>-18752.599999999999</v>
      </c>
      <c r="Q308">
        <v>200</v>
      </c>
      <c r="R308" t="s">
        <v>913</v>
      </c>
      <c r="T308" s="57">
        <v>-13356.55</v>
      </c>
      <c r="U308" s="57">
        <v>-18752.599999999999</v>
      </c>
      <c r="V308" s="57">
        <v>-18752.599999999999</v>
      </c>
      <c r="X308" s="55"/>
      <c r="Y308" s="55"/>
      <c r="Z308" s="55"/>
    </row>
    <row r="309" spans="1:26" ht="15.75" customHeight="1" x14ac:dyDescent="0.3">
      <c r="A309" s="57" t="s">
        <v>194</v>
      </c>
      <c r="B309" s="57" t="s">
        <v>309</v>
      </c>
      <c r="C309" s="58" t="s">
        <v>1221</v>
      </c>
      <c r="D309" s="58" t="s">
        <v>521</v>
      </c>
      <c r="E309" s="59" t="s">
        <v>1223</v>
      </c>
      <c r="F309" s="55" t="s">
        <v>194</v>
      </c>
      <c r="G309" s="55" t="s">
        <v>309</v>
      </c>
      <c r="H309" s="64" t="s">
        <v>357</v>
      </c>
      <c r="I309" s="64" t="s">
        <v>504</v>
      </c>
      <c r="J309" s="64" t="s">
        <v>129</v>
      </c>
      <c r="K309" s="60">
        <v>22223000028</v>
      </c>
      <c r="L309" s="60" t="s">
        <v>534</v>
      </c>
      <c r="M309" s="57">
        <v>-816</v>
      </c>
      <c r="N309" s="57">
        <v>-272</v>
      </c>
      <c r="O309" s="57">
        <v>0</v>
      </c>
      <c r="Q309">
        <v>200</v>
      </c>
      <c r="R309" t="s">
        <v>913</v>
      </c>
      <c r="T309" s="57">
        <v>-816</v>
      </c>
      <c r="U309" s="57">
        <v>-272</v>
      </c>
      <c r="V309" s="57">
        <v>0</v>
      </c>
      <c r="X309" s="55"/>
      <c r="Y309" s="55"/>
      <c r="Z309" s="55"/>
    </row>
    <row r="310" spans="1:26" ht="15.75" customHeight="1" x14ac:dyDescent="0.3">
      <c r="A310" s="57" t="s">
        <v>194</v>
      </c>
      <c r="B310" s="57" t="s">
        <v>309</v>
      </c>
      <c r="C310" s="58" t="s">
        <v>1221</v>
      </c>
      <c r="D310" s="58" t="s">
        <v>521</v>
      </c>
      <c r="E310" s="59" t="s">
        <v>1223</v>
      </c>
      <c r="F310" s="55" t="s">
        <v>194</v>
      </c>
      <c r="G310" s="55" t="s">
        <v>309</v>
      </c>
      <c r="H310" s="64" t="s">
        <v>357</v>
      </c>
      <c r="I310" s="64" t="s">
        <v>504</v>
      </c>
      <c r="J310" s="64" t="s">
        <v>129</v>
      </c>
      <c r="K310" s="60">
        <v>22223000037</v>
      </c>
      <c r="L310" s="60" t="s">
        <v>535</v>
      </c>
      <c r="M310" s="57">
        <v>-600</v>
      </c>
      <c r="N310" s="57">
        <v>-400</v>
      </c>
      <c r="O310" s="57">
        <v>-800</v>
      </c>
      <c r="Q310">
        <v>200</v>
      </c>
      <c r="R310" t="s">
        <v>913</v>
      </c>
      <c r="T310" s="57">
        <v>-600</v>
      </c>
      <c r="U310" s="57">
        <v>-400</v>
      </c>
      <c r="V310" s="57">
        <v>-800</v>
      </c>
      <c r="X310" s="55"/>
      <c r="Y310" s="55"/>
      <c r="Z310" s="55"/>
    </row>
    <row r="311" spans="1:26" ht="15.75" customHeight="1" x14ac:dyDescent="0.3">
      <c r="A311" s="57" t="s">
        <v>194</v>
      </c>
      <c r="B311" s="57" t="s">
        <v>309</v>
      </c>
      <c r="C311" s="58" t="s">
        <v>1221</v>
      </c>
      <c r="D311" s="58" t="s">
        <v>521</v>
      </c>
      <c r="E311" s="59" t="s">
        <v>1223</v>
      </c>
      <c r="F311" s="55" t="s">
        <v>194</v>
      </c>
      <c r="G311" s="55" t="s">
        <v>309</v>
      </c>
      <c r="H311" s="64" t="s">
        <v>357</v>
      </c>
      <c r="I311" s="64" t="s">
        <v>504</v>
      </c>
      <c r="J311" s="64" t="s">
        <v>129</v>
      </c>
      <c r="K311" s="60">
        <v>22223000040</v>
      </c>
      <c r="L311" s="60" t="s">
        <v>536</v>
      </c>
      <c r="M311" s="57">
        <v>-600</v>
      </c>
      <c r="N311" s="57">
        <v>-600</v>
      </c>
      <c r="O311" s="57">
        <v>-600</v>
      </c>
      <c r="Q311">
        <v>200</v>
      </c>
      <c r="R311" t="s">
        <v>913</v>
      </c>
      <c r="T311" s="57">
        <v>-600</v>
      </c>
      <c r="U311" s="57">
        <v>-600</v>
      </c>
      <c r="V311" s="57">
        <v>-600</v>
      </c>
      <c r="X311" s="55"/>
      <c r="Y311" s="55"/>
      <c r="Z311" s="55"/>
    </row>
    <row r="312" spans="1:26" ht="15.75" customHeight="1" x14ac:dyDescent="0.3">
      <c r="A312" s="57" t="s">
        <v>194</v>
      </c>
      <c r="B312" s="57" t="s">
        <v>309</v>
      </c>
      <c r="C312" s="58" t="s">
        <v>1221</v>
      </c>
      <c r="D312" s="58" t="s">
        <v>521</v>
      </c>
      <c r="E312" s="59" t="s">
        <v>1223</v>
      </c>
      <c r="F312" s="55" t="s">
        <v>194</v>
      </c>
      <c r="G312" s="55" t="s">
        <v>309</v>
      </c>
      <c r="H312" s="64" t="s">
        <v>357</v>
      </c>
      <c r="I312" s="64" t="s">
        <v>504</v>
      </c>
      <c r="J312" s="64" t="s">
        <v>129</v>
      </c>
      <c r="K312" s="60">
        <v>22223000043</v>
      </c>
      <c r="L312" s="60" t="s">
        <v>537</v>
      </c>
      <c r="M312" s="57">
        <v>0</v>
      </c>
      <c r="N312" s="57">
        <v>-221.82</v>
      </c>
      <c r="O312" s="57">
        <v>-5545.41</v>
      </c>
      <c r="Q312">
        <v>200</v>
      </c>
      <c r="R312" t="s">
        <v>913</v>
      </c>
      <c r="T312" s="57">
        <v>0</v>
      </c>
      <c r="U312" s="57">
        <v>-221.82</v>
      </c>
      <c r="V312" s="57">
        <v>-5545.41</v>
      </c>
      <c r="X312" s="55"/>
      <c r="Y312" s="55"/>
      <c r="Z312" s="55"/>
    </row>
    <row r="313" spans="1:26" ht="15.75" customHeight="1" x14ac:dyDescent="0.3">
      <c r="A313" s="57" t="s">
        <v>194</v>
      </c>
      <c r="B313" s="57" t="s">
        <v>309</v>
      </c>
      <c r="C313" s="58" t="s">
        <v>1221</v>
      </c>
      <c r="D313" s="58" t="s">
        <v>521</v>
      </c>
      <c r="E313" s="59" t="s">
        <v>1223</v>
      </c>
      <c r="F313" s="55" t="s">
        <v>194</v>
      </c>
      <c r="G313" s="55" t="s">
        <v>309</v>
      </c>
      <c r="H313" s="64" t="s">
        <v>357</v>
      </c>
      <c r="I313" s="64" t="s">
        <v>504</v>
      </c>
      <c r="J313" s="64" t="s">
        <v>129</v>
      </c>
      <c r="K313" s="60">
        <v>22223000045</v>
      </c>
      <c r="L313" s="60" t="s">
        <v>538</v>
      </c>
      <c r="M313" s="57">
        <v>0</v>
      </c>
      <c r="N313" s="57">
        <v>0</v>
      </c>
      <c r="O313" s="57">
        <v>-2963.91</v>
      </c>
      <c r="Q313">
        <v>200</v>
      </c>
      <c r="R313" t="s">
        <v>913</v>
      </c>
      <c r="T313" s="57">
        <v>0</v>
      </c>
      <c r="U313" s="57">
        <v>0</v>
      </c>
      <c r="V313" s="57">
        <v>-2963.91</v>
      </c>
      <c r="X313" s="55"/>
      <c r="Y313" s="55"/>
      <c r="Z313" s="55"/>
    </row>
    <row r="314" spans="1:26" ht="15.75" customHeight="1" x14ac:dyDescent="0.3">
      <c r="A314" s="57" t="s">
        <v>194</v>
      </c>
      <c r="B314" s="57" t="s">
        <v>309</v>
      </c>
      <c r="C314" s="58" t="s">
        <v>1221</v>
      </c>
      <c r="D314" s="58" t="s">
        <v>521</v>
      </c>
      <c r="E314" s="59" t="s">
        <v>1223</v>
      </c>
      <c r="F314" s="55" t="s">
        <v>194</v>
      </c>
      <c r="G314" s="55" t="s">
        <v>309</v>
      </c>
      <c r="H314" s="64" t="s">
        <v>357</v>
      </c>
      <c r="I314" s="64" t="s">
        <v>504</v>
      </c>
      <c r="J314" s="64" t="s">
        <v>129</v>
      </c>
      <c r="K314" s="60">
        <v>22223000046</v>
      </c>
      <c r="L314" s="60" t="s">
        <v>539</v>
      </c>
      <c r="M314" s="57">
        <v>0</v>
      </c>
      <c r="N314" s="57">
        <v>0</v>
      </c>
      <c r="O314" s="57">
        <v>-26914.81</v>
      </c>
      <c r="Q314">
        <v>200</v>
      </c>
      <c r="R314" t="s">
        <v>913</v>
      </c>
      <c r="T314" s="57">
        <v>0</v>
      </c>
      <c r="U314" s="57">
        <v>0</v>
      </c>
      <c r="V314" s="57">
        <v>-26914.81</v>
      </c>
      <c r="X314" s="55"/>
      <c r="Y314" s="55"/>
      <c r="Z314" s="55"/>
    </row>
    <row r="315" spans="1:26" ht="15.75" customHeight="1" x14ac:dyDescent="0.3">
      <c r="A315" s="57" t="s">
        <v>194</v>
      </c>
      <c r="B315" s="57" t="s">
        <v>309</v>
      </c>
      <c r="C315" s="58" t="s">
        <v>1221</v>
      </c>
      <c r="D315" s="58" t="s">
        <v>521</v>
      </c>
      <c r="E315" s="59" t="s">
        <v>1223</v>
      </c>
      <c r="F315" s="55" t="s">
        <v>194</v>
      </c>
      <c r="G315" s="55" t="s">
        <v>309</v>
      </c>
      <c r="H315" s="64" t="s">
        <v>357</v>
      </c>
      <c r="I315" s="64" t="s">
        <v>504</v>
      </c>
      <c r="J315" s="64" t="s">
        <v>129</v>
      </c>
      <c r="K315" s="60">
        <v>22223000047</v>
      </c>
      <c r="L315" s="60" t="s">
        <v>540</v>
      </c>
      <c r="M315" s="57">
        <v>0</v>
      </c>
      <c r="N315" s="57">
        <v>0</v>
      </c>
      <c r="O315" s="57">
        <v>-7000</v>
      </c>
      <c r="Q315">
        <v>200</v>
      </c>
      <c r="R315" t="s">
        <v>913</v>
      </c>
      <c r="T315" s="57">
        <v>0</v>
      </c>
      <c r="U315" s="57">
        <v>0</v>
      </c>
      <c r="V315" s="57">
        <v>-7000</v>
      </c>
      <c r="X315" s="55"/>
      <c r="Y315" s="55"/>
      <c r="Z315" s="55"/>
    </row>
    <row r="316" spans="1:26" ht="15.75" customHeight="1" x14ac:dyDescent="0.3">
      <c r="A316" s="57" t="s">
        <v>194</v>
      </c>
      <c r="B316" s="57" t="s">
        <v>309</v>
      </c>
      <c r="C316" s="58" t="s">
        <v>1261</v>
      </c>
      <c r="D316" s="58" t="s">
        <v>1261</v>
      </c>
      <c r="E316" s="59" t="s">
        <v>12</v>
      </c>
      <c r="F316" s="55" t="s">
        <v>194</v>
      </c>
      <c r="G316" s="55" t="s">
        <v>309</v>
      </c>
      <c r="H316" s="64" t="s">
        <v>357</v>
      </c>
      <c r="I316" s="64" t="s">
        <v>504</v>
      </c>
      <c r="J316" s="64" t="s">
        <v>129</v>
      </c>
      <c r="K316" s="60">
        <v>22301000001</v>
      </c>
      <c r="L316" s="60" t="s">
        <v>142</v>
      </c>
      <c r="M316" s="57">
        <v>-121446.02</v>
      </c>
      <c r="N316" s="57">
        <v>-208355.11</v>
      </c>
      <c r="O316" s="57">
        <v>-259111.46</v>
      </c>
      <c r="Q316">
        <v>200</v>
      </c>
      <c r="R316" t="s">
        <v>913</v>
      </c>
      <c r="T316" s="57">
        <v>-121446.02</v>
      </c>
      <c r="U316" s="57">
        <v>-208355.11</v>
      </c>
      <c r="V316" s="57">
        <v>-259111.46</v>
      </c>
      <c r="X316" s="55"/>
      <c r="Y316" s="55"/>
      <c r="Z316" s="55"/>
    </row>
    <row r="317" spans="1:26" ht="15.75" customHeight="1" x14ac:dyDescent="0.3">
      <c r="A317" s="57" t="s">
        <v>194</v>
      </c>
      <c r="B317" s="57" t="s">
        <v>309</v>
      </c>
      <c r="C317" s="58" t="s">
        <v>1261</v>
      </c>
      <c r="D317" s="58" t="s">
        <v>1261</v>
      </c>
      <c r="E317" s="59" t="s">
        <v>12</v>
      </c>
      <c r="F317" s="55" t="s">
        <v>194</v>
      </c>
      <c r="G317" s="55" t="s">
        <v>309</v>
      </c>
      <c r="H317" s="64" t="s">
        <v>357</v>
      </c>
      <c r="I317" s="64" t="s">
        <v>504</v>
      </c>
      <c r="J317" s="64" t="s">
        <v>129</v>
      </c>
      <c r="K317" s="60">
        <v>22302000002</v>
      </c>
      <c r="L317" s="60" t="s">
        <v>541</v>
      </c>
      <c r="M317" s="57">
        <v>-496570.04400364636</v>
      </c>
      <c r="N317" s="57">
        <v>-345512.2947618945</v>
      </c>
      <c r="O317" s="57">
        <v>-1193680.8736155834</v>
      </c>
      <c r="Q317">
        <v>200</v>
      </c>
      <c r="R317" t="s">
        <v>913</v>
      </c>
      <c r="T317" s="57">
        <v>-531166.57999999996</v>
      </c>
      <c r="U317" s="57">
        <v>-374723.77</v>
      </c>
      <c r="V317" s="57">
        <v>-1551779.65</v>
      </c>
      <c r="X317" s="55"/>
      <c r="Y317" s="55"/>
      <c r="Z317" s="55"/>
    </row>
    <row r="318" spans="1:26" ht="15.75" customHeight="1" x14ac:dyDescent="0.3">
      <c r="A318" s="57"/>
      <c r="B318" s="57"/>
      <c r="C318" s="58"/>
      <c r="D318" s="58"/>
      <c r="E318" s="59"/>
      <c r="F318" s="55" t="s">
        <v>194</v>
      </c>
      <c r="G318" s="55" t="s">
        <v>309</v>
      </c>
      <c r="H318" s="64" t="s">
        <v>396</v>
      </c>
      <c r="I318" s="64" t="s">
        <v>542</v>
      </c>
      <c r="J318" s="64" t="s">
        <v>543</v>
      </c>
      <c r="K318" s="60" t="s">
        <v>544</v>
      </c>
      <c r="L318" s="60" t="s">
        <v>543</v>
      </c>
      <c r="M318" s="57">
        <v>227549.6258865014</v>
      </c>
      <c r="N318" s="57">
        <v>227549.6258865014</v>
      </c>
      <c r="O318" s="57">
        <v>227549.6258865014</v>
      </c>
      <c r="Q318">
        <v>130</v>
      </c>
      <c r="R318" t="s">
        <v>891</v>
      </c>
      <c r="T318" s="57">
        <v>0</v>
      </c>
      <c r="U318" s="57">
        <v>0</v>
      </c>
      <c r="V318" s="57">
        <v>0</v>
      </c>
    </row>
    <row r="319" spans="1:26" ht="15.75" customHeight="1" x14ac:dyDescent="0.3">
      <c r="A319" s="57"/>
      <c r="B319" s="57"/>
      <c r="C319" s="58"/>
      <c r="D319" s="58"/>
      <c r="E319" s="59"/>
      <c r="F319" s="55" t="s">
        <v>194</v>
      </c>
      <c r="G319" s="55" t="s">
        <v>309</v>
      </c>
      <c r="H319" s="64" t="s">
        <v>396</v>
      </c>
      <c r="I319" s="64" t="s">
        <v>542</v>
      </c>
      <c r="J319" s="64" t="s">
        <v>545</v>
      </c>
      <c r="K319" s="60" t="s">
        <v>546</v>
      </c>
      <c r="L319" s="60" t="s">
        <v>545</v>
      </c>
      <c r="M319" s="57">
        <v>789179.93467999995</v>
      </c>
      <c r="N319" s="57">
        <v>789179.93467999995</v>
      </c>
      <c r="O319" s="57">
        <v>789179.93467999995</v>
      </c>
      <c r="Q319">
        <v>130</v>
      </c>
      <c r="R319" t="s">
        <v>891</v>
      </c>
      <c r="T319" s="57">
        <v>0</v>
      </c>
      <c r="U319" s="57">
        <v>0</v>
      </c>
      <c r="V319" s="57">
        <v>0</v>
      </c>
    </row>
    <row r="320" spans="1:26" ht="15.75" customHeight="1" x14ac:dyDescent="0.3">
      <c r="A320" s="57"/>
      <c r="B320" s="57"/>
      <c r="C320" s="58"/>
      <c r="D320" s="58"/>
      <c r="E320" s="59"/>
      <c r="F320" s="55" t="s">
        <v>194</v>
      </c>
      <c r="G320" s="55" t="s">
        <v>309</v>
      </c>
      <c r="H320" s="64" t="s">
        <v>396</v>
      </c>
      <c r="I320" s="64" t="s">
        <v>542</v>
      </c>
      <c r="J320" s="64" t="s">
        <v>547</v>
      </c>
      <c r="K320" s="60" t="s">
        <v>548</v>
      </c>
      <c r="L320" s="60" t="s">
        <v>547</v>
      </c>
      <c r="M320" s="57">
        <v>-48126.718000000001</v>
      </c>
      <c r="N320" s="57">
        <v>-48126.718000000001</v>
      </c>
      <c r="O320" s="57">
        <v>-48126.718000000001</v>
      </c>
      <c r="Q320">
        <v>130</v>
      </c>
      <c r="R320" t="s">
        <v>891</v>
      </c>
      <c r="T320" s="57">
        <v>0</v>
      </c>
      <c r="U320" s="57">
        <v>0</v>
      </c>
      <c r="V320" s="57">
        <v>0</v>
      </c>
    </row>
    <row r="321" spans="1:22" ht="15.75" customHeight="1" x14ac:dyDescent="0.3">
      <c r="A321" s="57"/>
      <c r="B321" s="57"/>
      <c r="C321" s="58"/>
      <c r="D321" s="58"/>
      <c r="E321" s="59"/>
      <c r="F321" s="55" t="s">
        <v>194</v>
      </c>
      <c r="G321" s="55" t="s">
        <v>309</v>
      </c>
      <c r="H321" s="64" t="s">
        <v>396</v>
      </c>
      <c r="I321" s="64" t="s">
        <v>542</v>
      </c>
      <c r="J321" s="64" t="s">
        <v>549</v>
      </c>
      <c r="K321" s="60" t="s">
        <v>550</v>
      </c>
      <c r="L321" s="64" t="s">
        <v>549</v>
      </c>
      <c r="M321" s="57">
        <v>2338.7798000000121</v>
      </c>
      <c r="N321" s="57">
        <v>2338.7798000000121</v>
      </c>
      <c r="O321" s="57">
        <v>2338.7798000000121</v>
      </c>
      <c r="Q321">
        <v>130</v>
      </c>
      <c r="R321" t="s">
        <v>891</v>
      </c>
      <c r="T321" s="57">
        <v>0</v>
      </c>
      <c r="U321" s="57">
        <v>0</v>
      </c>
      <c r="V321" s="57">
        <v>0</v>
      </c>
    </row>
    <row r="322" spans="1:22" ht="15.75" customHeight="1" x14ac:dyDescent="0.3">
      <c r="A322" s="57"/>
      <c r="B322" s="57"/>
      <c r="C322" s="58"/>
      <c r="D322" s="58"/>
      <c r="E322" s="59"/>
      <c r="F322" s="55" t="s">
        <v>194</v>
      </c>
      <c r="G322" s="55" t="s">
        <v>309</v>
      </c>
      <c r="H322" s="64" t="s">
        <v>396</v>
      </c>
      <c r="I322" s="64" t="s">
        <v>542</v>
      </c>
      <c r="J322" s="64" t="s">
        <v>551</v>
      </c>
      <c r="K322" s="60" t="s">
        <v>552</v>
      </c>
      <c r="L322" s="64" t="s">
        <v>551</v>
      </c>
      <c r="M322" s="57">
        <v>-38324.18576</v>
      </c>
      <c r="N322" s="57">
        <v>-38324.18576</v>
      </c>
      <c r="O322" s="57">
        <v>-38324.18576</v>
      </c>
      <c r="Q322">
        <v>130</v>
      </c>
      <c r="R322" t="s">
        <v>891</v>
      </c>
      <c r="T322" s="57">
        <v>0</v>
      </c>
      <c r="U322" s="57">
        <v>0</v>
      </c>
      <c r="V322" s="57">
        <v>0</v>
      </c>
    </row>
    <row r="323" spans="1:22" ht="15.75" customHeight="1" x14ac:dyDescent="0.3">
      <c r="A323" s="57"/>
      <c r="B323" s="57"/>
      <c r="C323" s="58"/>
      <c r="D323" s="58"/>
      <c r="E323" s="59"/>
      <c r="F323" s="55" t="s">
        <v>194</v>
      </c>
      <c r="G323" s="55" t="s">
        <v>309</v>
      </c>
      <c r="H323" t="s">
        <v>403</v>
      </c>
      <c r="I323" t="s">
        <v>420</v>
      </c>
      <c r="J323" t="s">
        <v>553</v>
      </c>
      <c r="K323" s="60" t="s">
        <v>554</v>
      </c>
      <c r="L323" s="60" t="s">
        <v>555</v>
      </c>
      <c r="M323" s="57">
        <v>0</v>
      </c>
      <c r="N323" s="57">
        <v>0</v>
      </c>
      <c r="O323" s="57">
        <v>-1494.33115</v>
      </c>
      <c r="Q323">
        <v>170</v>
      </c>
      <c r="R323" t="s">
        <v>916</v>
      </c>
      <c r="T323" s="57">
        <v>0</v>
      </c>
      <c r="U323" s="57">
        <v>0</v>
      </c>
      <c r="V323" s="57">
        <v>0</v>
      </c>
    </row>
    <row r="324" spans="1:22" ht="15.75" customHeight="1" x14ac:dyDescent="0.3">
      <c r="A324" s="57"/>
      <c r="B324" s="57"/>
      <c r="C324" s="58"/>
      <c r="D324" s="58"/>
      <c r="E324" s="59"/>
      <c r="F324" s="55" t="s">
        <v>194</v>
      </c>
      <c r="G324" s="55" t="s">
        <v>309</v>
      </c>
      <c r="H324" t="s">
        <v>403</v>
      </c>
      <c r="I324" t="s">
        <v>420</v>
      </c>
      <c r="J324" t="s">
        <v>553</v>
      </c>
      <c r="K324" s="60" t="s">
        <v>556</v>
      </c>
      <c r="L324" s="60" t="s">
        <v>557</v>
      </c>
      <c r="M324" s="57">
        <v>0</v>
      </c>
      <c r="N324" s="57">
        <v>0</v>
      </c>
      <c r="O324" s="57">
        <v>-8108.5151999999971</v>
      </c>
      <c r="Q324">
        <v>170</v>
      </c>
      <c r="R324" t="s">
        <v>916</v>
      </c>
      <c r="T324" s="57">
        <v>0</v>
      </c>
      <c r="U324" s="57">
        <v>0</v>
      </c>
      <c r="V324" s="57">
        <v>0</v>
      </c>
    </row>
    <row r="325" spans="1:22" ht="15.75" customHeight="1" x14ac:dyDescent="0.3">
      <c r="A325" s="57"/>
      <c r="B325" s="57"/>
      <c r="C325" s="58"/>
      <c r="D325" s="58"/>
      <c r="E325" s="59"/>
      <c r="F325" s="55" t="s">
        <v>194</v>
      </c>
      <c r="G325" s="55" t="s">
        <v>309</v>
      </c>
      <c r="H325" t="s">
        <v>403</v>
      </c>
      <c r="I325" t="s">
        <v>420</v>
      </c>
      <c r="J325" t="s">
        <v>553</v>
      </c>
      <c r="K325" s="60" t="s">
        <v>558</v>
      </c>
      <c r="L325" s="60" t="s">
        <v>559</v>
      </c>
      <c r="M325" s="57">
        <v>0</v>
      </c>
      <c r="N325" s="57">
        <v>-845.1725100000001</v>
      </c>
      <c r="O325" s="57">
        <v>-1690.3450200000002</v>
      </c>
      <c r="Q325">
        <v>170</v>
      </c>
      <c r="R325" t="s">
        <v>916</v>
      </c>
      <c r="T325" s="57">
        <v>0</v>
      </c>
      <c r="U325" s="57">
        <v>0</v>
      </c>
      <c r="V325" s="57">
        <v>0</v>
      </c>
    </row>
    <row r="326" spans="1:22" ht="15.75" customHeight="1" x14ac:dyDescent="0.3">
      <c r="A326" s="57"/>
      <c r="B326" s="57"/>
      <c r="C326" s="58"/>
      <c r="D326" s="58"/>
      <c r="E326" s="59"/>
      <c r="F326" s="55" t="s">
        <v>194</v>
      </c>
      <c r="G326" s="55" t="s">
        <v>309</v>
      </c>
      <c r="H326" t="s">
        <v>403</v>
      </c>
      <c r="I326" t="s">
        <v>420</v>
      </c>
      <c r="J326" t="s">
        <v>553</v>
      </c>
      <c r="K326" s="60" t="s">
        <v>560</v>
      </c>
      <c r="L326" s="60" t="s">
        <v>561</v>
      </c>
      <c r="M326" s="57">
        <v>-29553.691750000002</v>
      </c>
      <c r="N326" s="57">
        <v>-38722.818749999999</v>
      </c>
      <c r="O326" s="57">
        <v>-32318.9866</v>
      </c>
      <c r="Q326">
        <v>170</v>
      </c>
      <c r="R326" t="s">
        <v>916</v>
      </c>
      <c r="T326" s="57">
        <v>0</v>
      </c>
      <c r="U326" s="57">
        <v>0</v>
      </c>
      <c r="V326" s="57">
        <v>0</v>
      </c>
    </row>
    <row r="327" spans="1:22" ht="15.75" customHeight="1" x14ac:dyDescent="0.3">
      <c r="A327" s="57"/>
      <c r="B327" s="57"/>
      <c r="C327" s="58"/>
      <c r="D327" s="58"/>
      <c r="E327" s="59"/>
      <c r="F327" s="55" t="s">
        <v>194</v>
      </c>
      <c r="G327" s="55" t="s">
        <v>309</v>
      </c>
      <c r="H327" t="s">
        <v>403</v>
      </c>
      <c r="I327" t="s">
        <v>420</v>
      </c>
      <c r="J327" t="s">
        <v>553</v>
      </c>
      <c r="K327" s="60" t="s">
        <v>1262</v>
      </c>
      <c r="L327" s="60" t="s">
        <v>1263</v>
      </c>
      <c r="M327" s="57">
        <v>-2178.78024</v>
      </c>
      <c r="N327" s="57">
        <v>-513.07697999999914</v>
      </c>
      <c r="O327" s="57">
        <v>-1159.0121400000003</v>
      </c>
      <c r="Q327">
        <v>170</v>
      </c>
      <c r="R327" t="s">
        <v>916</v>
      </c>
      <c r="T327" s="57">
        <v>0</v>
      </c>
      <c r="U327" s="57">
        <v>0</v>
      </c>
      <c r="V327" s="57">
        <v>0</v>
      </c>
    </row>
    <row r="328" spans="1:22" ht="15.75" customHeight="1" x14ac:dyDescent="0.3">
      <c r="A328" s="57"/>
      <c r="B328" s="57"/>
      <c r="C328" s="58"/>
      <c r="D328" s="58"/>
      <c r="E328" s="59"/>
      <c r="F328" s="55" t="s">
        <v>194</v>
      </c>
      <c r="G328" s="55" t="s">
        <v>309</v>
      </c>
      <c r="H328" t="s">
        <v>403</v>
      </c>
      <c r="I328" t="s">
        <v>420</v>
      </c>
      <c r="J328" t="s">
        <v>553</v>
      </c>
      <c r="K328" s="60" t="s">
        <v>1264</v>
      </c>
      <c r="L328" s="60" t="s">
        <v>1265</v>
      </c>
      <c r="M328" s="57">
        <v>-15363.194000000001</v>
      </c>
      <c r="N328" s="57">
        <v>-3617.8504999999932</v>
      </c>
      <c r="O328" s="57">
        <v>-8172.5215000000026</v>
      </c>
      <c r="Q328">
        <v>170</v>
      </c>
      <c r="R328" t="s">
        <v>916</v>
      </c>
      <c r="T328" s="57">
        <v>0</v>
      </c>
      <c r="U328" s="57">
        <v>0</v>
      </c>
      <c r="V328" s="57">
        <v>0</v>
      </c>
    </row>
    <row r="329" spans="1:22" ht="15.75" customHeight="1" x14ac:dyDescent="0.3">
      <c r="A329" s="57"/>
      <c r="B329" s="57"/>
      <c r="C329" s="58"/>
      <c r="D329" s="58"/>
      <c r="E329" s="59"/>
      <c r="F329" s="55" t="s">
        <v>194</v>
      </c>
      <c r="G329" s="55" t="s">
        <v>309</v>
      </c>
      <c r="H329" t="s">
        <v>403</v>
      </c>
      <c r="I329" t="s">
        <v>420</v>
      </c>
      <c r="J329" t="s">
        <v>553</v>
      </c>
      <c r="K329" s="69" t="s">
        <v>1266</v>
      </c>
      <c r="L329" s="69" t="s">
        <v>1267</v>
      </c>
      <c r="M329" s="57">
        <v>-2600207.6705</v>
      </c>
      <c r="N329" s="57">
        <v>-2531265.2107140566</v>
      </c>
      <c r="O329" s="57">
        <v>-2136922.9357528193</v>
      </c>
      <c r="Q329">
        <v>170</v>
      </c>
      <c r="R329" t="s">
        <v>916</v>
      </c>
      <c r="T329" s="57">
        <v>0</v>
      </c>
      <c r="U329" s="57">
        <v>0</v>
      </c>
      <c r="V329" s="57">
        <v>0</v>
      </c>
    </row>
    <row r="330" spans="1:22" ht="15.75" customHeight="1" x14ac:dyDescent="0.3">
      <c r="A330" s="57"/>
      <c r="B330" s="57"/>
      <c r="C330" s="58"/>
      <c r="D330" s="58"/>
      <c r="E330" s="59"/>
      <c r="F330" s="55" t="s">
        <v>194</v>
      </c>
      <c r="G330" s="55" t="s">
        <v>309</v>
      </c>
      <c r="H330" t="s">
        <v>403</v>
      </c>
      <c r="I330" t="s">
        <v>420</v>
      </c>
      <c r="J330" t="s">
        <v>553</v>
      </c>
      <c r="K330" s="69" t="s">
        <v>1268</v>
      </c>
      <c r="L330" s="69" t="s">
        <v>1269</v>
      </c>
      <c r="M330" s="57">
        <v>-368756.72417999996</v>
      </c>
      <c r="N330" s="57">
        <v>-358979.42988308438</v>
      </c>
      <c r="O330" s="57">
        <v>-345718.75428836286</v>
      </c>
      <c r="Q330">
        <v>170</v>
      </c>
      <c r="R330" t="s">
        <v>916</v>
      </c>
      <c r="T330" s="57">
        <v>0</v>
      </c>
      <c r="U330" s="57">
        <v>0</v>
      </c>
      <c r="V330" s="57">
        <v>0</v>
      </c>
    </row>
    <row r="331" spans="1:22" ht="15.75" customHeight="1" x14ac:dyDescent="0.3">
      <c r="A331" s="57"/>
      <c r="B331" s="57"/>
      <c r="C331" s="58"/>
      <c r="D331" s="58"/>
      <c r="E331" s="59"/>
      <c r="F331" s="55" t="s">
        <v>194</v>
      </c>
      <c r="G331" s="55" t="s">
        <v>309</v>
      </c>
      <c r="H331" s="64" t="s">
        <v>396</v>
      </c>
      <c r="I331" s="64" t="s">
        <v>562</v>
      </c>
      <c r="J331" s="64" t="s">
        <v>563</v>
      </c>
      <c r="K331" s="60" t="s">
        <v>564</v>
      </c>
      <c r="L331" s="60" t="s">
        <v>563</v>
      </c>
      <c r="M331" s="57">
        <v>0</v>
      </c>
      <c r="N331" s="57">
        <v>0</v>
      </c>
      <c r="O331" s="57">
        <v>0</v>
      </c>
      <c r="Q331">
        <v>130</v>
      </c>
      <c r="R331" t="s">
        <v>890</v>
      </c>
      <c r="T331" s="57">
        <v>0</v>
      </c>
      <c r="U331" s="57">
        <v>0</v>
      </c>
      <c r="V331" s="57">
        <v>0</v>
      </c>
    </row>
    <row r="332" spans="1:22" ht="15.75" customHeight="1" x14ac:dyDescent="0.3">
      <c r="A332" s="57"/>
      <c r="B332" s="57"/>
      <c r="C332" s="58"/>
      <c r="D332" s="58"/>
      <c r="E332" s="59"/>
      <c r="F332" s="55" t="s">
        <v>194</v>
      </c>
      <c r="G332" s="55" t="s">
        <v>309</v>
      </c>
      <c r="H332" s="64" t="s">
        <v>396</v>
      </c>
      <c r="I332" s="64" t="s">
        <v>562</v>
      </c>
      <c r="J332" s="64" t="s">
        <v>565</v>
      </c>
      <c r="K332" s="60" t="s">
        <v>566</v>
      </c>
      <c r="L332" s="60" t="s">
        <v>565</v>
      </c>
      <c r="M332" s="57">
        <v>0</v>
      </c>
      <c r="N332" s="57">
        <v>0</v>
      </c>
      <c r="O332" s="57">
        <v>0</v>
      </c>
      <c r="Q332">
        <v>130</v>
      </c>
      <c r="R332" t="s">
        <v>890</v>
      </c>
      <c r="T332" s="57">
        <v>0</v>
      </c>
      <c r="U332" s="57">
        <v>0</v>
      </c>
      <c r="V332" s="57">
        <v>0</v>
      </c>
    </row>
    <row r="333" spans="1:22" ht="15.75" customHeight="1" x14ac:dyDescent="0.3">
      <c r="A333" s="57"/>
      <c r="B333" s="57"/>
      <c r="C333" s="58"/>
      <c r="D333" s="58"/>
      <c r="E333" s="59"/>
      <c r="F333" s="55" t="s">
        <v>194</v>
      </c>
      <c r="G333" s="55" t="s">
        <v>309</v>
      </c>
      <c r="H333" s="64" t="s">
        <v>396</v>
      </c>
      <c r="I333" s="64" t="s">
        <v>562</v>
      </c>
      <c r="J333" s="64" t="s">
        <v>567</v>
      </c>
      <c r="K333" s="60" t="s">
        <v>568</v>
      </c>
      <c r="L333" s="60" t="s">
        <v>567</v>
      </c>
      <c r="M333" s="57">
        <v>0</v>
      </c>
      <c r="N333" s="57">
        <v>0</v>
      </c>
      <c r="O333" s="57">
        <v>0</v>
      </c>
      <c r="Q333">
        <v>130</v>
      </c>
      <c r="R333" t="s">
        <v>890</v>
      </c>
      <c r="T333" s="57">
        <v>0</v>
      </c>
      <c r="U333" s="57">
        <v>0</v>
      </c>
      <c r="V333" s="57">
        <v>0</v>
      </c>
    </row>
    <row r="334" spans="1:22" ht="15.75" customHeight="1" x14ac:dyDescent="0.3">
      <c r="A334" s="57"/>
      <c r="B334" s="57"/>
      <c r="C334" s="58"/>
      <c r="D334" s="58"/>
      <c r="E334" s="59"/>
      <c r="F334" s="55" t="s">
        <v>194</v>
      </c>
      <c r="G334" s="55" t="s">
        <v>309</v>
      </c>
      <c r="H334" s="64" t="s">
        <v>396</v>
      </c>
      <c r="I334" s="64" t="s">
        <v>562</v>
      </c>
      <c r="J334" s="64" t="s">
        <v>569</v>
      </c>
      <c r="K334" s="60" t="s">
        <v>570</v>
      </c>
      <c r="L334" s="60" t="s">
        <v>569</v>
      </c>
      <c r="M334" s="57">
        <v>0</v>
      </c>
      <c r="N334" s="57">
        <v>0</v>
      </c>
      <c r="O334" s="57">
        <v>46309.040540000016</v>
      </c>
      <c r="Q334">
        <v>130</v>
      </c>
      <c r="R334" t="s">
        <v>890</v>
      </c>
      <c r="T334" s="57">
        <v>0</v>
      </c>
      <c r="U334" s="57">
        <v>0</v>
      </c>
      <c r="V334" s="57">
        <v>0</v>
      </c>
    </row>
    <row r="335" spans="1:22" ht="15.75" customHeight="1" x14ac:dyDescent="0.3">
      <c r="A335" s="57" t="s">
        <v>571</v>
      </c>
      <c r="B335" s="57" t="s">
        <v>572</v>
      </c>
      <c r="C335" s="58" t="s">
        <v>1270</v>
      </c>
      <c r="D335" s="58" t="s">
        <v>1271</v>
      </c>
      <c r="E335" s="59" t="s">
        <v>1272</v>
      </c>
      <c r="F335" s="55" t="s">
        <v>571</v>
      </c>
      <c r="G335" s="55" t="s">
        <v>572</v>
      </c>
      <c r="H335" t="s">
        <v>573</v>
      </c>
      <c r="I335" t="s">
        <v>574</v>
      </c>
      <c r="J335">
        <v>0</v>
      </c>
      <c r="K335" s="60">
        <v>55001000001</v>
      </c>
      <c r="L335" s="60" t="s">
        <v>575</v>
      </c>
      <c r="M335" s="57">
        <v>-28133732.84</v>
      </c>
      <c r="N335" s="57">
        <v>-28164481.780000001</v>
      </c>
      <c r="O335" s="57">
        <v>-27525772.27</v>
      </c>
      <c r="Q335">
        <v>500</v>
      </c>
      <c r="R335" t="s">
        <v>1029</v>
      </c>
      <c r="T335" s="57">
        <v>-28133732.84</v>
      </c>
      <c r="U335" s="57">
        <v>-28164481.780000001</v>
      </c>
      <c r="V335" s="57">
        <v>-27525772.27</v>
      </c>
    </row>
    <row r="336" spans="1:22" ht="15.75" customHeight="1" x14ac:dyDescent="0.3">
      <c r="A336" s="57" t="s">
        <v>571</v>
      </c>
      <c r="B336" s="57" t="s">
        <v>572</v>
      </c>
      <c r="C336" s="58" t="s">
        <v>1270</v>
      </c>
      <c r="D336" s="58" t="s">
        <v>1271</v>
      </c>
      <c r="E336" s="59" t="s">
        <v>1272</v>
      </c>
      <c r="F336" s="55" t="s">
        <v>571</v>
      </c>
      <c r="G336" s="55" t="s">
        <v>572</v>
      </c>
      <c r="H336" t="s">
        <v>573</v>
      </c>
      <c r="I336" t="s">
        <v>574</v>
      </c>
      <c r="J336">
        <v>0</v>
      </c>
      <c r="K336" s="60">
        <v>55001000002</v>
      </c>
      <c r="L336" s="60" t="s">
        <v>576</v>
      </c>
      <c r="M336" s="57">
        <v>-5505542.5899999999</v>
      </c>
      <c r="N336" s="57">
        <v>-5938082.0199999996</v>
      </c>
      <c r="O336" s="57">
        <v>-5608649.9100000001</v>
      </c>
      <c r="Q336">
        <v>500</v>
      </c>
      <c r="R336" t="s">
        <v>1029</v>
      </c>
      <c r="T336" s="57">
        <v>-5505542.5899999999</v>
      </c>
      <c r="U336" s="57">
        <v>-5938082.0199999996</v>
      </c>
      <c r="V336" s="57">
        <v>-5608649.9100000001</v>
      </c>
    </row>
    <row r="337" spans="1:22" ht="15.75" customHeight="1" x14ac:dyDescent="0.3">
      <c r="A337" s="57" t="s">
        <v>571</v>
      </c>
      <c r="B337" s="57" t="s">
        <v>572</v>
      </c>
      <c r="C337" s="58" t="s">
        <v>1270</v>
      </c>
      <c r="D337" s="58" t="s">
        <v>1271</v>
      </c>
      <c r="E337" s="59" t="s">
        <v>1272</v>
      </c>
      <c r="F337" s="55" t="s">
        <v>571</v>
      </c>
      <c r="G337" s="55" t="s">
        <v>572</v>
      </c>
      <c r="H337" t="s">
        <v>573</v>
      </c>
      <c r="I337" t="s">
        <v>574</v>
      </c>
      <c r="J337">
        <v>0</v>
      </c>
      <c r="K337" s="60">
        <v>55001000003</v>
      </c>
      <c r="L337" s="60" t="s">
        <v>577</v>
      </c>
      <c r="M337" s="57">
        <v>-251368.26</v>
      </c>
      <c r="N337" s="57">
        <v>-302027.65000000002</v>
      </c>
      <c r="O337" s="57">
        <v>-387226.92</v>
      </c>
      <c r="Q337">
        <v>500</v>
      </c>
      <c r="R337" t="s">
        <v>1029</v>
      </c>
      <c r="T337" s="57">
        <v>-251368.26</v>
      </c>
      <c r="U337" s="57">
        <v>-302027.65000000002</v>
      </c>
      <c r="V337" s="57">
        <v>-387226.92</v>
      </c>
    </row>
    <row r="338" spans="1:22" ht="15.75" customHeight="1" x14ac:dyDescent="0.3">
      <c r="A338" s="57" t="s">
        <v>571</v>
      </c>
      <c r="B338" s="57" t="s">
        <v>572</v>
      </c>
      <c r="C338" s="58" t="s">
        <v>1270</v>
      </c>
      <c r="D338" s="58" t="s">
        <v>1271</v>
      </c>
      <c r="E338" s="59" t="s">
        <v>1272</v>
      </c>
      <c r="F338" s="55" t="s">
        <v>571</v>
      </c>
      <c r="G338" s="55" t="s">
        <v>572</v>
      </c>
      <c r="H338" t="s">
        <v>573</v>
      </c>
      <c r="I338" t="s">
        <v>574</v>
      </c>
      <c r="J338">
        <v>0</v>
      </c>
      <c r="K338" s="60">
        <v>55001000005</v>
      </c>
      <c r="L338" s="60" t="s">
        <v>578</v>
      </c>
      <c r="M338" s="57">
        <v>-22488.93</v>
      </c>
      <c r="N338" s="57">
        <v>0</v>
      </c>
      <c r="O338" s="57">
        <v>-148131.20000000001</v>
      </c>
      <c r="Q338">
        <v>500</v>
      </c>
      <c r="R338" t="s">
        <v>1029</v>
      </c>
      <c r="T338" s="57">
        <v>-22488.93</v>
      </c>
      <c r="U338" s="57">
        <v>0</v>
      </c>
      <c r="V338" s="57">
        <v>-148131.20000000001</v>
      </c>
    </row>
    <row r="339" spans="1:22" ht="15.75" customHeight="1" x14ac:dyDescent="0.3">
      <c r="A339" s="57" t="s">
        <v>571</v>
      </c>
      <c r="B339" s="57" t="s">
        <v>572</v>
      </c>
      <c r="C339" s="58" t="s">
        <v>1270</v>
      </c>
      <c r="D339" s="58" t="s">
        <v>1271</v>
      </c>
      <c r="E339" s="59" t="s">
        <v>1272</v>
      </c>
      <c r="F339" s="55" t="s">
        <v>571</v>
      </c>
      <c r="G339" s="55" t="s">
        <v>572</v>
      </c>
      <c r="H339" t="s">
        <v>573</v>
      </c>
      <c r="I339" t="s">
        <v>574</v>
      </c>
      <c r="J339">
        <v>0</v>
      </c>
      <c r="K339" s="60">
        <v>55001000006</v>
      </c>
      <c r="L339" s="60" t="s">
        <v>579</v>
      </c>
      <c r="M339" s="57">
        <v>-96220.3</v>
      </c>
      <c r="N339" s="57">
        <v>-101107.51</v>
      </c>
      <c r="O339" s="57">
        <v>-97866.8</v>
      </c>
      <c r="Q339">
        <v>500</v>
      </c>
      <c r="R339" t="s">
        <v>1029</v>
      </c>
      <c r="T339" s="57">
        <v>-96220.3</v>
      </c>
      <c r="U339" s="57">
        <v>-101107.51</v>
      </c>
      <c r="V339" s="57">
        <v>-97866.8</v>
      </c>
    </row>
    <row r="340" spans="1:22" ht="15.75" customHeight="1" x14ac:dyDescent="0.3">
      <c r="A340" s="57" t="s">
        <v>571</v>
      </c>
      <c r="B340" s="57" t="s">
        <v>572</v>
      </c>
      <c r="C340" s="58" t="s">
        <v>1270</v>
      </c>
      <c r="D340" s="58" t="s">
        <v>1271</v>
      </c>
      <c r="E340" s="59" t="s">
        <v>1272</v>
      </c>
      <c r="F340" s="55" t="s">
        <v>571</v>
      </c>
      <c r="G340" s="55" t="s">
        <v>572</v>
      </c>
      <c r="H340" t="s">
        <v>573</v>
      </c>
      <c r="I340" t="s">
        <v>574</v>
      </c>
      <c r="J340">
        <v>0</v>
      </c>
      <c r="K340" s="60">
        <v>55001000007</v>
      </c>
      <c r="L340" s="60" t="s">
        <v>580</v>
      </c>
      <c r="M340" s="57">
        <v>0</v>
      </c>
      <c r="N340" s="57">
        <v>0</v>
      </c>
      <c r="O340" s="57">
        <v>-12566.77</v>
      </c>
      <c r="Q340">
        <v>500</v>
      </c>
      <c r="R340" t="s">
        <v>1029</v>
      </c>
      <c r="T340" s="57">
        <v>0</v>
      </c>
      <c r="U340" s="57">
        <v>0</v>
      </c>
      <c r="V340" s="57">
        <v>-12566.77</v>
      </c>
    </row>
    <row r="341" spans="1:22" ht="15.75" customHeight="1" x14ac:dyDescent="0.3">
      <c r="A341" s="57" t="s">
        <v>571</v>
      </c>
      <c r="B341" s="57" t="s">
        <v>572</v>
      </c>
      <c r="C341" s="58" t="s">
        <v>1270</v>
      </c>
      <c r="D341" s="58" t="s">
        <v>1271</v>
      </c>
      <c r="E341" s="59" t="s">
        <v>1272</v>
      </c>
      <c r="F341" s="55" t="s">
        <v>571</v>
      </c>
      <c r="G341" s="55" t="s">
        <v>572</v>
      </c>
      <c r="H341" t="s">
        <v>573</v>
      </c>
      <c r="I341" t="s">
        <v>574</v>
      </c>
      <c r="J341">
        <v>0</v>
      </c>
      <c r="K341" s="60">
        <v>55005000017</v>
      </c>
      <c r="L341" s="60" t="s">
        <v>581</v>
      </c>
      <c r="M341" s="57">
        <v>-99370.63</v>
      </c>
      <c r="N341" s="57">
        <v>-83459.77</v>
      </c>
      <c r="O341" s="57">
        <v>-104883.41</v>
      </c>
      <c r="Q341">
        <v>500</v>
      </c>
      <c r="R341" t="s">
        <v>1030</v>
      </c>
      <c r="T341" s="57">
        <v>-99370.63</v>
      </c>
      <c r="U341" s="57">
        <v>-83459.77</v>
      </c>
      <c r="V341" s="57">
        <v>-104883.41</v>
      </c>
    </row>
    <row r="342" spans="1:22" ht="15.75" customHeight="1" x14ac:dyDescent="0.3">
      <c r="A342" s="57" t="s">
        <v>571</v>
      </c>
      <c r="B342" s="57" t="s">
        <v>572</v>
      </c>
      <c r="C342" s="58" t="s">
        <v>1270</v>
      </c>
      <c r="D342" s="58" t="s">
        <v>1271</v>
      </c>
      <c r="E342" s="59" t="s">
        <v>1272</v>
      </c>
      <c r="F342" s="55" t="s">
        <v>571</v>
      </c>
      <c r="G342" s="55" t="s">
        <v>572</v>
      </c>
      <c r="H342" t="s">
        <v>573</v>
      </c>
      <c r="I342" t="s">
        <v>574</v>
      </c>
      <c r="J342">
        <v>0</v>
      </c>
      <c r="K342" s="60">
        <v>55005000015</v>
      </c>
      <c r="L342" s="60" t="s">
        <v>582</v>
      </c>
      <c r="M342" s="57">
        <v>-174725.55</v>
      </c>
      <c r="N342" s="57">
        <v>-73144</v>
      </c>
      <c r="O342" s="57">
        <v>0</v>
      </c>
      <c r="Q342">
        <v>500</v>
      </c>
      <c r="R342" t="s">
        <v>1030</v>
      </c>
      <c r="T342" s="57">
        <v>-174725.55</v>
      </c>
      <c r="U342" s="57">
        <v>-73144</v>
      </c>
      <c r="V342" s="57">
        <v>0</v>
      </c>
    </row>
    <row r="343" spans="1:22" ht="15.75" customHeight="1" x14ac:dyDescent="0.3">
      <c r="A343" s="57" t="s">
        <v>571</v>
      </c>
      <c r="B343" s="57" t="s">
        <v>572</v>
      </c>
      <c r="C343" s="58" t="s">
        <v>1270</v>
      </c>
      <c r="D343" s="58" t="s">
        <v>1271</v>
      </c>
      <c r="E343" s="59" t="s">
        <v>1272</v>
      </c>
      <c r="F343" s="55" t="s">
        <v>571</v>
      </c>
      <c r="G343" s="55" t="s">
        <v>572</v>
      </c>
      <c r="H343" t="s">
        <v>573</v>
      </c>
      <c r="I343" t="s">
        <v>574</v>
      </c>
      <c r="J343">
        <v>0</v>
      </c>
      <c r="K343" s="60">
        <v>44303000009</v>
      </c>
      <c r="L343" s="60" t="s">
        <v>583</v>
      </c>
      <c r="M343" s="57">
        <v>11193.85</v>
      </c>
      <c r="N343" s="57">
        <v>108.9</v>
      </c>
      <c r="O343" s="57">
        <v>598.57000000000005</v>
      </c>
      <c r="Q343">
        <v>500</v>
      </c>
      <c r="R343" t="s">
        <v>1029</v>
      </c>
      <c r="T343" s="57">
        <v>11193.85</v>
      </c>
      <c r="U343" s="57">
        <v>108.9</v>
      </c>
      <c r="V343" s="57">
        <v>598.57000000000005</v>
      </c>
    </row>
    <row r="344" spans="1:22" ht="15.75" customHeight="1" x14ac:dyDescent="0.3">
      <c r="A344" s="57" t="s">
        <v>571</v>
      </c>
      <c r="B344" s="57" t="s">
        <v>572</v>
      </c>
      <c r="C344" s="58" t="s">
        <v>1270</v>
      </c>
      <c r="D344" s="58" t="s">
        <v>1271</v>
      </c>
      <c r="E344" s="59" t="s">
        <v>1272</v>
      </c>
      <c r="F344" s="55" t="s">
        <v>571</v>
      </c>
      <c r="G344" s="55" t="s">
        <v>572</v>
      </c>
      <c r="H344" t="s">
        <v>573</v>
      </c>
      <c r="I344" t="s">
        <v>574</v>
      </c>
      <c r="J344">
        <v>0</v>
      </c>
      <c r="K344" s="60">
        <v>44303000010</v>
      </c>
      <c r="L344" s="60" t="s">
        <v>584</v>
      </c>
      <c r="M344" s="57">
        <v>21679.74</v>
      </c>
      <c r="N344" s="57">
        <v>8436.15</v>
      </c>
      <c r="O344" s="57">
        <v>18309.37</v>
      </c>
      <c r="Q344">
        <v>500</v>
      </c>
      <c r="R344" t="s">
        <v>1029</v>
      </c>
      <c r="T344" s="57">
        <v>21679.74</v>
      </c>
      <c r="U344" s="57">
        <v>8436.15</v>
      </c>
      <c r="V344" s="57">
        <v>18309.37</v>
      </c>
    </row>
    <row r="345" spans="1:22" ht="15.75" customHeight="1" x14ac:dyDescent="0.3">
      <c r="A345" s="57" t="s">
        <v>571</v>
      </c>
      <c r="B345" s="57" t="s">
        <v>572</v>
      </c>
      <c r="C345" s="58" t="s">
        <v>1270</v>
      </c>
      <c r="D345" s="58" t="s">
        <v>1271</v>
      </c>
      <c r="E345" s="59" t="s">
        <v>1272</v>
      </c>
      <c r="F345" s="55" t="s">
        <v>571</v>
      </c>
      <c r="G345" s="55" t="s">
        <v>572</v>
      </c>
      <c r="H345" t="s">
        <v>573</v>
      </c>
      <c r="I345" t="s">
        <v>574</v>
      </c>
      <c r="J345">
        <v>0</v>
      </c>
      <c r="K345" s="60">
        <v>44006000016</v>
      </c>
      <c r="L345" s="60" t="s">
        <v>585</v>
      </c>
      <c r="M345" s="57">
        <v>879524</v>
      </c>
      <c r="N345" s="57">
        <v>748461.45</v>
      </c>
      <c r="O345" s="57">
        <v>401550.75</v>
      </c>
      <c r="Q345">
        <v>500</v>
      </c>
      <c r="R345" t="s">
        <v>1029</v>
      </c>
      <c r="T345" s="57">
        <v>879524</v>
      </c>
      <c r="U345" s="57">
        <v>748461.45</v>
      </c>
      <c r="V345" s="57">
        <v>401550.75</v>
      </c>
    </row>
    <row r="346" spans="1:22" ht="15.75" customHeight="1" x14ac:dyDescent="0.3">
      <c r="A346" s="57" t="s">
        <v>571</v>
      </c>
      <c r="B346" s="57" t="s">
        <v>572</v>
      </c>
      <c r="C346" s="58" t="s">
        <v>1270</v>
      </c>
      <c r="D346" s="58" t="s">
        <v>1271</v>
      </c>
      <c r="E346" s="59" t="s">
        <v>1272</v>
      </c>
      <c r="F346" s="55" t="s">
        <v>571</v>
      </c>
      <c r="G346" s="55" t="s">
        <v>572</v>
      </c>
      <c r="H346" t="s">
        <v>573</v>
      </c>
      <c r="I346" t="s">
        <v>574</v>
      </c>
      <c r="J346">
        <v>0</v>
      </c>
      <c r="K346" s="60">
        <v>44006000031</v>
      </c>
      <c r="L346" s="60" t="s">
        <v>586</v>
      </c>
      <c r="M346" s="57">
        <v>63838.37</v>
      </c>
      <c r="N346" s="57">
        <v>79193.009999999995</v>
      </c>
      <c r="O346" s="57">
        <v>47754.58</v>
      </c>
      <c r="Q346">
        <v>500</v>
      </c>
      <c r="R346" t="s">
        <v>1029</v>
      </c>
      <c r="T346" s="57">
        <v>63838.37</v>
      </c>
      <c r="U346" s="57">
        <v>79193.009999999995</v>
      </c>
      <c r="V346" s="57">
        <v>47754.58</v>
      </c>
    </row>
    <row r="347" spans="1:22" ht="15.75" customHeight="1" x14ac:dyDescent="0.3">
      <c r="A347" s="57" t="s">
        <v>571</v>
      </c>
      <c r="B347" s="57" t="s">
        <v>572</v>
      </c>
      <c r="C347" s="58" t="s">
        <v>1270</v>
      </c>
      <c r="D347" s="58" t="s">
        <v>1271</v>
      </c>
      <c r="E347" s="59" t="s">
        <v>1272</v>
      </c>
      <c r="F347" s="55" t="s">
        <v>571</v>
      </c>
      <c r="G347" s="55" t="s">
        <v>572</v>
      </c>
      <c r="H347" t="s">
        <v>573</v>
      </c>
      <c r="I347" t="s">
        <v>574</v>
      </c>
      <c r="J347">
        <v>0</v>
      </c>
      <c r="K347" s="60">
        <v>44006000032</v>
      </c>
      <c r="L347" s="60" t="s">
        <v>587</v>
      </c>
      <c r="M347" s="57">
        <v>218.93</v>
      </c>
      <c r="N347" s="57">
        <v>36175</v>
      </c>
      <c r="O347" s="57">
        <v>18011.349999999999</v>
      </c>
      <c r="Q347">
        <v>500</v>
      </c>
      <c r="R347" t="s">
        <v>1029</v>
      </c>
      <c r="T347" s="57">
        <v>218.93</v>
      </c>
      <c r="U347" s="57">
        <v>36175</v>
      </c>
      <c r="V347" s="57">
        <v>18011.349999999999</v>
      </c>
    </row>
    <row r="348" spans="1:22" ht="15.75" customHeight="1" x14ac:dyDescent="0.3">
      <c r="A348" s="57" t="s">
        <v>571</v>
      </c>
      <c r="B348" s="57" t="s">
        <v>572</v>
      </c>
      <c r="C348" s="58" t="s">
        <v>1270</v>
      </c>
      <c r="D348" s="58" t="s">
        <v>1271</v>
      </c>
      <c r="E348" s="59" t="s">
        <v>1272</v>
      </c>
      <c r="F348" s="55" t="s">
        <v>571</v>
      </c>
      <c r="G348" s="55" t="s">
        <v>572</v>
      </c>
      <c r="H348" t="s">
        <v>573</v>
      </c>
      <c r="I348" t="s">
        <v>574</v>
      </c>
      <c r="J348">
        <v>0</v>
      </c>
      <c r="K348" s="60">
        <v>44303000099</v>
      </c>
      <c r="L348" s="60" t="s">
        <v>588</v>
      </c>
      <c r="M348" s="57">
        <v>1076.6300000000001</v>
      </c>
      <c r="N348" s="57">
        <v>918.84</v>
      </c>
      <c r="O348" s="57">
        <v>1184.18</v>
      </c>
      <c r="Q348">
        <v>500</v>
      </c>
      <c r="R348" t="s">
        <v>1029</v>
      </c>
      <c r="T348" s="57">
        <v>1076.6300000000001</v>
      </c>
      <c r="U348" s="57">
        <v>918.84</v>
      </c>
      <c r="V348" s="57">
        <v>1184.18</v>
      </c>
    </row>
    <row r="349" spans="1:22" ht="15.75" customHeight="1" x14ac:dyDescent="0.3">
      <c r="A349" s="57" t="s">
        <v>571</v>
      </c>
      <c r="B349" s="57" t="s">
        <v>572</v>
      </c>
      <c r="C349" s="58" t="s">
        <v>1270</v>
      </c>
      <c r="D349" s="58" t="s">
        <v>1271</v>
      </c>
      <c r="E349" s="59" t="s">
        <v>1272</v>
      </c>
      <c r="F349" s="55" t="s">
        <v>571</v>
      </c>
      <c r="G349" s="55" t="s">
        <v>572</v>
      </c>
      <c r="H349" t="s">
        <v>573</v>
      </c>
      <c r="I349" t="s">
        <v>574</v>
      </c>
      <c r="J349">
        <v>0</v>
      </c>
      <c r="K349" s="60">
        <v>44303000011</v>
      </c>
      <c r="L349" s="60" t="s">
        <v>589</v>
      </c>
      <c r="M349" s="57">
        <v>3644648.61</v>
      </c>
      <c r="N349" s="57">
        <v>3173228.99</v>
      </c>
      <c r="O349" s="57">
        <v>3180650.49</v>
      </c>
      <c r="Q349">
        <v>500</v>
      </c>
      <c r="R349" t="s">
        <v>1029</v>
      </c>
      <c r="T349" s="57">
        <v>3644648.61</v>
      </c>
      <c r="U349" s="57">
        <v>3173228.99</v>
      </c>
      <c r="V349" s="57">
        <v>3180650.49</v>
      </c>
    </row>
    <row r="350" spans="1:22" ht="15.75" customHeight="1" x14ac:dyDescent="0.3">
      <c r="A350" s="57" t="s">
        <v>571</v>
      </c>
      <c r="B350" s="57" t="s">
        <v>572</v>
      </c>
      <c r="C350" s="58" t="s">
        <v>1270</v>
      </c>
      <c r="D350" s="58" t="s">
        <v>1271</v>
      </c>
      <c r="E350" s="59" t="s">
        <v>1272</v>
      </c>
      <c r="F350" s="55" t="s">
        <v>571</v>
      </c>
      <c r="G350" s="55" t="s">
        <v>572</v>
      </c>
      <c r="H350" t="s">
        <v>573</v>
      </c>
      <c r="I350" t="s">
        <v>574</v>
      </c>
      <c r="J350">
        <v>0</v>
      </c>
      <c r="K350" s="60">
        <v>44006000001</v>
      </c>
      <c r="L350" s="60" t="s">
        <v>590</v>
      </c>
      <c r="M350" s="57">
        <v>1041328.75</v>
      </c>
      <c r="N350" s="57">
        <v>798868.65</v>
      </c>
      <c r="O350" s="57">
        <v>940697.99</v>
      </c>
      <c r="Q350">
        <v>500</v>
      </c>
      <c r="R350" t="s">
        <v>1029</v>
      </c>
      <c r="T350" s="57">
        <v>1041328.75</v>
      </c>
      <c r="U350" s="57">
        <v>798868.65</v>
      </c>
      <c r="V350" s="57">
        <v>940697.99</v>
      </c>
    </row>
    <row r="351" spans="1:22" ht="15.75" customHeight="1" x14ac:dyDescent="0.3">
      <c r="A351" s="57" t="s">
        <v>571</v>
      </c>
      <c r="B351" s="57" t="s">
        <v>572</v>
      </c>
      <c r="C351" s="58" t="s">
        <v>1270</v>
      </c>
      <c r="D351" s="58" t="s">
        <v>1271</v>
      </c>
      <c r="E351" s="59" t="s">
        <v>1272</v>
      </c>
      <c r="F351" s="55" t="s">
        <v>571</v>
      </c>
      <c r="G351" s="55" t="s">
        <v>572</v>
      </c>
      <c r="H351" t="s">
        <v>573</v>
      </c>
      <c r="I351" t="s">
        <v>574</v>
      </c>
      <c r="J351">
        <v>0</v>
      </c>
      <c r="K351" s="60">
        <v>44006000002</v>
      </c>
      <c r="L351" s="60" t="s">
        <v>591</v>
      </c>
      <c r="M351" s="57">
        <v>677897.38</v>
      </c>
      <c r="N351" s="57">
        <v>570650.89</v>
      </c>
      <c r="O351" s="57">
        <v>655967.62</v>
      </c>
      <c r="Q351">
        <v>500</v>
      </c>
      <c r="R351" t="s">
        <v>1029</v>
      </c>
      <c r="T351" s="57">
        <v>677897.38</v>
      </c>
      <c r="U351" s="57">
        <v>570650.89</v>
      </c>
      <c r="V351" s="57">
        <v>654108.27</v>
      </c>
    </row>
    <row r="352" spans="1:22" ht="15.75" customHeight="1" x14ac:dyDescent="0.3">
      <c r="A352" s="57" t="s">
        <v>571</v>
      </c>
      <c r="B352" s="57" t="s">
        <v>572</v>
      </c>
      <c r="C352" s="58" t="s">
        <v>1270</v>
      </c>
      <c r="D352" s="58" t="s">
        <v>1271</v>
      </c>
      <c r="E352" s="59" t="s">
        <v>1272</v>
      </c>
      <c r="F352" s="55" t="s">
        <v>571</v>
      </c>
      <c r="G352" s="55" t="s">
        <v>572</v>
      </c>
      <c r="H352" t="s">
        <v>573</v>
      </c>
      <c r="I352" t="s">
        <v>574</v>
      </c>
      <c r="J352">
        <v>0</v>
      </c>
      <c r="K352" s="60">
        <v>44006000003</v>
      </c>
      <c r="L352" s="60" t="s">
        <v>592</v>
      </c>
      <c r="M352" s="57">
        <v>562259.15</v>
      </c>
      <c r="N352" s="57">
        <v>457160.59</v>
      </c>
      <c r="O352" s="57">
        <v>397941.95</v>
      </c>
      <c r="Q352">
        <v>500</v>
      </c>
      <c r="R352" t="s">
        <v>1029</v>
      </c>
      <c r="T352" s="57">
        <v>562259.15</v>
      </c>
      <c r="U352" s="57">
        <v>457160.59</v>
      </c>
      <c r="V352" s="57">
        <v>250458.75</v>
      </c>
    </row>
    <row r="353" spans="1:22" ht="15.75" customHeight="1" x14ac:dyDescent="0.3">
      <c r="A353" s="57" t="s">
        <v>571</v>
      </c>
      <c r="B353" s="57" t="s">
        <v>572</v>
      </c>
      <c r="C353" s="58" t="s">
        <v>1270</v>
      </c>
      <c r="D353" s="58" t="s">
        <v>1271</v>
      </c>
      <c r="E353" s="59" t="s">
        <v>1272</v>
      </c>
      <c r="F353" s="55" t="s">
        <v>571</v>
      </c>
      <c r="G353" s="55" t="s">
        <v>572</v>
      </c>
      <c r="H353" t="s">
        <v>573</v>
      </c>
      <c r="I353" t="s">
        <v>574</v>
      </c>
      <c r="J353">
        <v>0</v>
      </c>
      <c r="K353" s="60">
        <v>44303000012</v>
      </c>
      <c r="L353" s="60" t="s">
        <v>593</v>
      </c>
      <c r="M353" s="57">
        <v>1648211.27</v>
      </c>
      <c r="N353" s="57">
        <v>2212061.86</v>
      </c>
      <c r="O353" s="57">
        <v>1915126.57</v>
      </c>
      <c r="Q353">
        <v>500</v>
      </c>
      <c r="R353" t="s">
        <v>1029</v>
      </c>
      <c r="T353" s="57">
        <v>1648211.27</v>
      </c>
      <c r="U353" s="57">
        <v>2212061.86</v>
      </c>
      <c r="V353" s="57">
        <v>1915126.57</v>
      </c>
    </row>
    <row r="354" spans="1:22" ht="15.75" customHeight="1" x14ac:dyDescent="0.3">
      <c r="A354" s="57" t="s">
        <v>571</v>
      </c>
      <c r="B354" s="57" t="s">
        <v>572</v>
      </c>
      <c r="C354" s="58" t="s">
        <v>1270</v>
      </c>
      <c r="D354" s="58" t="s">
        <v>1273</v>
      </c>
      <c r="E354" s="59" t="s">
        <v>1274</v>
      </c>
      <c r="F354" s="55" t="s">
        <v>571</v>
      </c>
      <c r="G354" s="55" t="s">
        <v>572</v>
      </c>
      <c r="H354" t="s">
        <v>594</v>
      </c>
      <c r="I354" t="s">
        <v>594</v>
      </c>
      <c r="J354">
        <v>0</v>
      </c>
      <c r="K354" s="60">
        <v>55401000002</v>
      </c>
      <c r="L354" s="60" t="s">
        <v>595</v>
      </c>
      <c r="M354" s="57">
        <v>-6240865</v>
      </c>
      <c r="N354" s="57">
        <v>-6586064</v>
      </c>
      <c r="O354" s="57">
        <v>-7224408</v>
      </c>
      <c r="Q354">
        <v>510</v>
      </c>
      <c r="T354" s="57">
        <v>-6240865</v>
      </c>
      <c r="U354" s="57">
        <v>-6586064</v>
      </c>
      <c r="V354" s="57">
        <v>-7224408</v>
      </c>
    </row>
    <row r="355" spans="1:22" ht="15.75" customHeight="1" x14ac:dyDescent="0.3">
      <c r="A355" s="57" t="s">
        <v>571</v>
      </c>
      <c r="B355" s="57" t="s">
        <v>572</v>
      </c>
      <c r="C355" s="58" t="s">
        <v>1270</v>
      </c>
      <c r="D355" s="58" t="s">
        <v>1273</v>
      </c>
      <c r="E355" s="59" t="s">
        <v>1274</v>
      </c>
      <c r="F355" s="55" t="s">
        <v>571</v>
      </c>
      <c r="G355" s="55" t="s">
        <v>572</v>
      </c>
      <c r="H355" t="s">
        <v>594</v>
      </c>
      <c r="I355" t="s">
        <v>594</v>
      </c>
      <c r="J355">
        <v>0</v>
      </c>
      <c r="K355" s="60">
        <v>44001000002</v>
      </c>
      <c r="L355" s="60" t="s">
        <v>596</v>
      </c>
      <c r="M355" s="57">
        <v>5878907</v>
      </c>
      <c r="N355" s="57">
        <v>6240865</v>
      </c>
      <c r="O355" s="57">
        <v>6586064</v>
      </c>
      <c r="Q355">
        <v>510</v>
      </c>
      <c r="T355" s="57">
        <v>5878907</v>
      </c>
      <c r="U355" s="57">
        <v>6240865</v>
      </c>
      <c r="V355" s="57">
        <v>6586064</v>
      </c>
    </row>
    <row r="356" spans="1:22" ht="15.75" customHeight="1" x14ac:dyDescent="0.3">
      <c r="A356" s="57" t="s">
        <v>571</v>
      </c>
      <c r="B356" s="57" t="s">
        <v>572</v>
      </c>
      <c r="C356" s="58" t="s">
        <v>1270</v>
      </c>
      <c r="D356" s="58" t="s">
        <v>1275</v>
      </c>
      <c r="E356" s="59" t="s">
        <v>1276</v>
      </c>
      <c r="F356" s="55" t="s">
        <v>571</v>
      </c>
      <c r="G356" s="55" t="s">
        <v>572</v>
      </c>
      <c r="H356" t="s">
        <v>144</v>
      </c>
      <c r="I356" t="s">
        <v>144</v>
      </c>
      <c r="J356" t="s">
        <v>597</v>
      </c>
      <c r="K356" s="60">
        <v>55005000004</v>
      </c>
      <c r="L356" s="60" t="s">
        <v>598</v>
      </c>
      <c r="M356" s="57">
        <v>-59134.25</v>
      </c>
      <c r="N356" s="57">
        <v>-41291.99</v>
      </c>
      <c r="O356" s="57">
        <v>-24967.66</v>
      </c>
      <c r="Q356">
        <v>520</v>
      </c>
      <c r="R356" t="s">
        <v>1031</v>
      </c>
      <c r="T356" s="57">
        <v>-59134.25</v>
      </c>
      <c r="U356" s="57">
        <v>-41291.99</v>
      </c>
      <c r="V356" s="57">
        <v>-24967.66</v>
      </c>
    </row>
    <row r="357" spans="1:22" ht="15.75" customHeight="1" x14ac:dyDescent="0.3">
      <c r="A357" s="57" t="s">
        <v>571</v>
      </c>
      <c r="B357" s="57" t="s">
        <v>572</v>
      </c>
      <c r="C357" s="58" t="s">
        <v>1270</v>
      </c>
      <c r="D357" s="58" t="s">
        <v>1275</v>
      </c>
      <c r="E357" s="59" t="s">
        <v>1276</v>
      </c>
      <c r="F357" s="55" t="s">
        <v>571</v>
      </c>
      <c r="G357" s="55" t="s">
        <v>572</v>
      </c>
      <c r="H357" t="s">
        <v>144</v>
      </c>
      <c r="I357" t="s">
        <v>144</v>
      </c>
      <c r="J357">
        <v>0</v>
      </c>
      <c r="K357" s="60">
        <v>55005000006</v>
      </c>
      <c r="L357" s="60" t="s">
        <v>599</v>
      </c>
      <c r="M357" s="57">
        <v>0</v>
      </c>
      <c r="N357" s="57">
        <v>0</v>
      </c>
      <c r="O357" s="57">
        <v>-148448</v>
      </c>
      <c r="Q357">
        <v>520</v>
      </c>
      <c r="R357" t="s">
        <v>1032</v>
      </c>
      <c r="T357" s="57">
        <v>0</v>
      </c>
      <c r="U357" s="57">
        <v>0</v>
      </c>
      <c r="V357" s="57">
        <v>-148448</v>
      </c>
    </row>
    <row r="358" spans="1:22" ht="15.75" customHeight="1" x14ac:dyDescent="0.3">
      <c r="A358" s="57" t="s">
        <v>571</v>
      </c>
      <c r="B358" s="57" t="s">
        <v>572</v>
      </c>
      <c r="C358" s="58" t="s">
        <v>1270</v>
      </c>
      <c r="D358" s="58" t="s">
        <v>1275</v>
      </c>
      <c r="E358" s="59" t="s">
        <v>1276</v>
      </c>
      <c r="F358" s="55" t="s">
        <v>571</v>
      </c>
      <c r="G358" s="55" t="s">
        <v>572</v>
      </c>
      <c r="H358" t="s">
        <v>144</v>
      </c>
      <c r="I358" t="s">
        <v>144</v>
      </c>
      <c r="J358">
        <v>0</v>
      </c>
      <c r="K358" s="60">
        <v>55005000007</v>
      </c>
      <c r="L358" s="60" t="s">
        <v>600</v>
      </c>
      <c r="M358" s="57">
        <v>0</v>
      </c>
      <c r="N358" s="57">
        <v>0</v>
      </c>
      <c r="O358" s="57">
        <v>-31310</v>
      </c>
      <c r="Q358">
        <v>520</v>
      </c>
      <c r="R358" t="s">
        <v>1031</v>
      </c>
      <c r="T358" s="57">
        <v>0</v>
      </c>
      <c r="U358" s="57">
        <v>0</v>
      </c>
      <c r="V358" s="57">
        <v>-31310</v>
      </c>
    </row>
    <row r="359" spans="1:22" ht="15.75" customHeight="1" x14ac:dyDescent="0.3">
      <c r="A359" s="57" t="s">
        <v>571</v>
      </c>
      <c r="B359" s="57" t="s">
        <v>572</v>
      </c>
      <c r="C359" s="58" t="s">
        <v>1270</v>
      </c>
      <c r="D359" s="58" t="s">
        <v>1275</v>
      </c>
      <c r="E359" s="59" t="s">
        <v>1276</v>
      </c>
      <c r="F359" s="55" t="s">
        <v>571</v>
      </c>
      <c r="G359" s="55" t="s">
        <v>572</v>
      </c>
      <c r="H359" s="62" t="s">
        <v>144</v>
      </c>
      <c r="I359" s="62" t="s">
        <v>144</v>
      </c>
      <c r="J359">
        <v>0</v>
      </c>
      <c r="K359" s="60">
        <v>55005000010</v>
      </c>
      <c r="L359" s="60" t="s">
        <v>601</v>
      </c>
      <c r="M359" s="57">
        <v>-18395</v>
      </c>
      <c r="N359" s="57">
        <v>-148445</v>
      </c>
      <c r="O359" s="57">
        <v>-255389.98</v>
      </c>
      <c r="Q359">
        <v>520</v>
      </c>
      <c r="R359" t="s">
        <v>1033</v>
      </c>
      <c r="T359" s="57">
        <v>-18395</v>
      </c>
      <c r="U359" s="57">
        <v>-148445</v>
      </c>
      <c r="V359" s="57">
        <v>-255389.98</v>
      </c>
    </row>
    <row r="360" spans="1:22" ht="15.75" customHeight="1" x14ac:dyDescent="0.3">
      <c r="A360" s="57" t="s">
        <v>571</v>
      </c>
      <c r="B360" s="57" t="s">
        <v>572</v>
      </c>
      <c r="C360" s="58" t="s">
        <v>1270</v>
      </c>
      <c r="D360" s="58" t="s">
        <v>1275</v>
      </c>
      <c r="E360" s="59" t="s">
        <v>1276</v>
      </c>
      <c r="F360" s="55" t="s">
        <v>571</v>
      </c>
      <c r="G360" s="55" t="s">
        <v>572</v>
      </c>
      <c r="H360" s="62" t="s">
        <v>144</v>
      </c>
      <c r="I360" s="62" t="s">
        <v>144</v>
      </c>
      <c r="J360">
        <v>0</v>
      </c>
      <c r="K360" s="60">
        <v>55005000011</v>
      </c>
      <c r="L360" s="60" t="s">
        <v>602</v>
      </c>
      <c r="M360" s="57">
        <v>0</v>
      </c>
      <c r="N360" s="57">
        <v>5385.060758248088</v>
      </c>
      <c r="O360" s="57">
        <v>-112878.27114631096</v>
      </c>
      <c r="Q360">
        <v>520</v>
      </c>
      <c r="R360" t="s">
        <v>1033</v>
      </c>
      <c r="T360" s="57">
        <v>0</v>
      </c>
      <c r="U360" s="57">
        <v>0</v>
      </c>
      <c r="V360" s="57">
        <v>-137399.5</v>
      </c>
    </row>
    <row r="361" spans="1:22" ht="15.75" customHeight="1" x14ac:dyDescent="0.3">
      <c r="A361" s="57" t="s">
        <v>571</v>
      </c>
      <c r="B361" s="57" t="s">
        <v>572</v>
      </c>
      <c r="C361" s="58" t="s">
        <v>1270</v>
      </c>
      <c r="D361" s="58" t="s">
        <v>1275</v>
      </c>
      <c r="E361" s="59" t="s">
        <v>1276</v>
      </c>
      <c r="F361" s="55" t="s">
        <v>571</v>
      </c>
      <c r="G361" s="55" t="s">
        <v>572</v>
      </c>
      <c r="H361" t="s">
        <v>144</v>
      </c>
      <c r="I361" t="s">
        <v>144</v>
      </c>
      <c r="J361" t="s">
        <v>597</v>
      </c>
      <c r="K361" s="60">
        <v>55302000004</v>
      </c>
      <c r="L361" s="60" t="s">
        <v>603</v>
      </c>
      <c r="M361" s="57">
        <v>-20200</v>
      </c>
      <c r="N361" s="57">
        <v>-81.97</v>
      </c>
      <c r="O361" s="57">
        <v>-11195.78</v>
      </c>
      <c r="Q361">
        <v>520</v>
      </c>
      <c r="R361" t="s">
        <v>1034</v>
      </c>
      <c r="T361" s="57">
        <v>-20200</v>
      </c>
      <c r="U361" s="57">
        <v>-81.97</v>
      </c>
      <c r="V361" s="57">
        <v>-11195.78</v>
      </c>
    </row>
    <row r="362" spans="1:22" ht="15.75" customHeight="1" x14ac:dyDescent="0.3">
      <c r="A362" s="57" t="s">
        <v>571</v>
      </c>
      <c r="B362" s="57" t="s">
        <v>604</v>
      </c>
      <c r="C362" s="58" t="s">
        <v>1277</v>
      </c>
      <c r="D362" s="58" t="s">
        <v>1278</v>
      </c>
      <c r="E362" s="59" t="s">
        <v>1279</v>
      </c>
      <c r="F362" s="55" t="s">
        <v>571</v>
      </c>
      <c r="G362" s="55" t="s">
        <v>604</v>
      </c>
      <c r="H362" t="s">
        <v>605</v>
      </c>
      <c r="I362" t="s">
        <v>605</v>
      </c>
      <c r="J362">
        <v>0</v>
      </c>
      <c r="K362" s="60">
        <v>44001000001</v>
      </c>
      <c r="L362" s="60" t="s">
        <v>606</v>
      </c>
      <c r="M362" s="57">
        <v>454148</v>
      </c>
      <c r="N362" s="57">
        <v>535205</v>
      </c>
      <c r="O362" s="57">
        <v>582907</v>
      </c>
      <c r="Q362">
        <v>540</v>
      </c>
      <c r="R362" t="s">
        <v>1035</v>
      </c>
      <c r="T362" s="57">
        <v>454148</v>
      </c>
      <c r="U362" s="57">
        <v>535205</v>
      </c>
      <c r="V362" s="57">
        <v>582907</v>
      </c>
    </row>
    <row r="363" spans="1:22" ht="15.75" customHeight="1" x14ac:dyDescent="0.3">
      <c r="A363" s="57" t="s">
        <v>571</v>
      </c>
      <c r="B363" s="57" t="s">
        <v>604</v>
      </c>
      <c r="C363" s="58" t="s">
        <v>1277</v>
      </c>
      <c r="D363" s="58" t="s">
        <v>1278</v>
      </c>
      <c r="E363" s="59" t="s">
        <v>1279</v>
      </c>
      <c r="F363" s="55" t="s">
        <v>571</v>
      </c>
      <c r="G363" s="55" t="s">
        <v>604</v>
      </c>
      <c r="H363" t="s">
        <v>605</v>
      </c>
      <c r="I363" t="s">
        <v>605</v>
      </c>
      <c r="J363">
        <v>0</v>
      </c>
      <c r="K363" s="60">
        <v>55401000001</v>
      </c>
      <c r="L363" s="60" t="s">
        <v>607</v>
      </c>
      <c r="M363" s="57">
        <v>-535205</v>
      </c>
      <c r="N363" s="57">
        <v>-582907</v>
      </c>
      <c r="O363" s="57">
        <v>-724143</v>
      </c>
      <c r="Q363">
        <v>540</v>
      </c>
      <c r="R363" t="s">
        <v>1035</v>
      </c>
      <c r="T363" s="57">
        <v>-535205</v>
      </c>
      <c r="U363" s="57">
        <v>-582907</v>
      </c>
      <c r="V363" s="57">
        <v>-724143</v>
      </c>
    </row>
    <row r="364" spans="1:22" ht="15.75" customHeight="1" x14ac:dyDescent="0.3">
      <c r="A364" s="57" t="s">
        <v>571</v>
      </c>
      <c r="B364" s="57" t="s">
        <v>604</v>
      </c>
      <c r="C364" s="58" t="s">
        <v>1277</v>
      </c>
      <c r="D364" s="58" t="s">
        <v>1280</v>
      </c>
      <c r="E364" s="59" t="s">
        <v>1281</v>
      </c>
      <c r="F364" s="55" t="s">
        <v>571</v>
      </c>
      <c r="G364" s="55" t="s">
        <v>604</v>
      </c>
      <c r="H364" t="s">
        <v>605</v>
      </c>
      <c r="I364" t="s">
        <v>605</v>
      </c>
      <c r="J364">
        <v>0</v>
      </c>
      <c r="K364" s="60">
        <v>44002000001</v>
      </c>
      <c r="L364" s="60" t="s">
        <v>608</v>
      </c>
      <c r="M364" s="57">
        <v>7220683.4500000002</v>
      </c>
      <c r="N364" s="57">
        <v>6921787.2199999997</v>
      </c>
      <c r="O364" s="57">
        <v>7076416.46</v>
      </c>
      <c r="Q364">
        <v>540</v>
      </c>
      <c r="R364" t="s">
        <v>1036</v>
      </c>
      <c r="T364" s="57">
        <v>7220683.4500000002</v>
      </c>
      <c r="U364" s="57">
        <v>6921787.2199999997</v>
      </c>
      <c r="V364" s="57">
        <v>7076416.46</v>
      </c>
    </row>
    <row r="365" spans="1:22" ht="15.75" customHeight="1" x14ac:dyDescent="0.3">
      <c r="A365" s="57" t="s">
        <v>571</v>
      </c>
      <c r="B365" s="57" t="s">
        <v>604</v>
      </c>
      <c r="C365" s="58" t="s">
        <v>1277</v>
      </c>
      <c r="D365" s="58" t="s">
        <v>1280</v>
      </c>
      <c r="E365" s="59" t="s">
        <v>1281</v>
      </c>
      <c r="F365" s="55" t="s">
        <v>571</v>
      </c>
      <c r="G365" s="55" t="s">
        <v>604</v>
      </c>
      <c r="H365" t="s">
        <v>605</v>
      </c>
      <c r="I365" t="s">
        <v>605</v>
      </c>
      <c r="J365">
        <v>0</v>
      </c>
      <c r="K365" s="60">
        <v>44002000003</v>
      </c>
      <c r="L365" s="60" t="s">
        <v>609</v>
      </c>
      <c r="M365" s="57">
        <v>0</v>
      </c>
      <c r="N365" s="57">
        <v>25383.87</v>
      </c>
      <c r="O365" s="57">
        <v>0</v>
      </c>
      <c r="Q365">
        <v>540</v>
      </c>
      <c r="R365" t="s">
        <v>1036</v>
      </c>
      <c r="T365" s="57">
        <v>0</v>
      </c>
      <c r="U365" s="57">
        <v>25383.87</v>
      </c>
      <c r="V365" s="57">
        <v>0</v>
      </c>
    </row>
    <row r="366" spans="1:22" ht="15.75" customHeight="1" x14ac:dyDescent="0.3">
      <c r="A366" s="57" t="s">
        <v>571</v>
      </c>
      <c r="B366" s="57" t="s">
        <v>604</v>
      </c>
      <c r="C366" s="58" t="s">
        <v>1277</v>
      </c>
      <c r="D366" s="58" t="s">
        <v>1280</v>
      </c>
      <c r="E366" s="59" t="s">
        <v>1281</v>
      </c>
      <c r="F366" s="55" t="s">
        <v>571</v>
      </c>
      <c r="G366" s="55" t="s">
        <v>604</v>
      </c>
      <c r="H366" t="s">
        <v>605</v>
      </c>
      <c r="I366" t="s">
        <v>605</v>
      </c>
      <c r="J366">
        <v>0</v>
      </c>
      <c r="K366" s="60">
        <v>44002000008</v>
      </c>
      <c r="L366" s="60" t="s">
        <v>610</v>
      </c>
      <c r="M366" s="57">
        <v>459151.92</v>
      </c>
      <c r="N366" s="57">
        <v>550998.24</v>
      </c>
      <c r="O366" s="57">
        <v>513662.76</v>
      </c>
      <c r="Q366">
        <v>540</v>
      </c>
      <c r="R366" t="s">
        <v>1036</v>
      </c>
      <c r="T366" s="57">
        <v>459151.92</v>
      </c>
      <c r="U366" s="57">
        <v>550998.24</v>
      </c>
      <c r="V366" s="57">
        <v>512412.76</v>
      </c>
    </row>
    <row r="367" spans="1:22" ht="15.75" customHeight="1" x14ac:dyDescent="0.3">
      <c r="A367" s="57" t="s">
        <v>571</v>
      </c>
      <c r="B367" s="57" t="s">
        <v>604</v>
      </c>
      <c r="C367" s="58" t="s">
        <v>1277</v>
      </c>
      <c r="D367" s="58" t="s">
        <v>1280</v>
      </c>
      <c r="E367" s="59" t="s">
        <v>1281</v>
      </c>
      <c r="F367" s="55" t="s">
        <v>571</v>
      </c>
      <c r="G367" s="55" t="s">
        <v>604</v>
      </c>
      <c r="H367" t="s">
        <v>605</v>
      </c>
      <c r="I367" t="s">
        <v>605</v>
      </c>
      <c r="J367">
        <v>0</v>
      </c>
      <c r="K367" s="60">
        <v>44002000009</v>
      </c>
      <c r="L367" s="60" t="s">
        <v>611</v>
      </c>
      <c r="M367" s="57">
        <v>1065799.24</v>
      </c>
      <c r="N367" s="57">
        <v>1187500.5</v>
      </c>
      <c r="O367" s="57">
        <v>1233730.8</v>
      </c>
      <c r="Q367">
        <v>540</v>
      </c>
      <c r="R367" t="s">
        <v>1036</v>
      </c>
      <c r="T367" s="57">
        <v>1065799.24</v>
      </c>
      <c r="U367" s="57">
        <v>1187500.5</v>
      </c>
      <c r="V367" s="57">
        <v>1233730.8</v>
      </c>
    </row>
    <row r="368" spans="1:22" ht="15.75" customHeight="1" x14ac:dyDescent="0.3">
      <c r="A368" s="57" t="s">
        <v>571</v>
      </c>
      <c r="B368" s="57" t="s">
        <v>604</v>
      </c>
      <c r="C368" s="58" t="s">
        <v>1277</v>
      </c>
      <c r="D368" s="58" t="s">
        <v>1280</v>
      </c>
      <c r="E368" s="59" t="s">
        <v>1281</v>
      </c>
      <c r="F368" s="55" t="s">
        <v>571</v>
      </c>
      <c r="G368" s="55" t="s">
        <v>604</v>
      </c>
      <c r="H368" t="s">
        <v>605</v>
      </c>
      <c r="I368" t="s">
        <v>605</v>
      </c>
      <c r="J368">
        <v>0</v>
      </c>
      <c r="K368" s="60">
        <v>44002000010</v>
      </c>
      <c r="L368" s="60" t="s">
        <v>612</v>
      </c>
      <c r="M368" s="57">
        <v>124077.28</v>
      </c>
      <c r="N368" s="57">
        <v>173432.88</v>
      </c>
      <c r="O368" s="57">
        <v>145337.32</v>
      </c>
      <c r="Q368">
        <v>540</v>
      </c>
      <c r="R368" t="s">
        <v>1036</v>
      </c>
      <c r="T368" s="57">
        <v>124077.28</v>
      </c>
      <c r="U368" s="57">
        <v>173432.88</v>
      </c>
      <c r="V368" s="57">
        <v>145337.32</v>
      </c>
    </row>
    <row r="369" spans="1:22" ht="15.75" customHeight="1" x14ac:dyDescent="0.3">
      <c r="A369" s="57" t="s">
        <v>571</v>
      </c>
      <c r="B369" s="57" t="s">
        <v>604</v>
      </c>
      <c r="C369" s="58" t="s">
        <v>1277</v>
      </c>
      <c r="D369" s="58" t="s">
        <v>1280</v>
      </c>
      <c r="E369" s="59" t="s">
        <v>1281</v>
      </c>
      <c r="F369" s="55" t="s">
        <v>571</v>
      </c>
      <c r="G369" s="55" t="s">
        <v>604</v>
      </c>
      <c r="H369" t="s">
        <v>605</v>
      </c>
      <c r="I369" t="s">
        <v>605</v>
      </c>
      <c r="J369">
        <v>0</v>
      </c>
      <c r="K369" s="60">
        <v>44002000011</v>
      </c>
      <c r="L369" s="60" t="s">
        <v>613</v>
      </c>
      <c r="M369" s="57">
        <v>0</v>
      </c>
      <c r="N369" s="57">
        <v>2900</v>
      </c>
      <c r="O369" s="57">
        <v>0</v>
      </c>
      <c r="Q369">
        <v>540</v>
      </c>
      <c r="R369" t="s">
        <v>1036</v>
      </c>
      <c r="T369" s="57">
        <v>0</v>
      </c>
      <c r="U369" s="57">
        <v>2900</v>
      </c>
      <c r="V369" s="57">
        <v>0</v>
      </c>
    </row>
    <row r="370" spans="1:22" ht="15.75" customHeight="1" x14ac:dyDescent="0.3">
      <c r="A370" s="57" t="s">
        <v>571</v>
      </c>
      <c r="B370" s="57" t="s">
        <v>604</v>
      </c>
      <c r="C370" s="58" t="s">
        <v>1277</v>
      </c>
      <c r="D370" s="58" t="s">
        <v>1280</v>
      </c>
      <c r="E370" s="59" t="s">
        <v>1281</v>
      </c>
      <c r="F370" s="55" t="s">
        <v>571</v>
      </c>
      <c r="G370" s="55" t="s">
        <v>604</v>
      </c>
      <c r="H370" t="s">
        <v>605</v>
      </c>
      <c r="I370" t="s">
        <v>605</v>
      </c>
      <c r="J370">
        <v>0</v>
      </c>
      <c r="K370" s="60">
        <v>44002000012</v>
      </c>
      <c r="L370" s="60" t="s">
        <v>614</v>
      </c>
      <c r="M370" s="57">
        <v>5038426.99</v>
      </c>
      <c r="N370" s="57">
        <v>5289030.54</v>
      </c>
      <c r="O370" s="57">
        <v>5720562.6100000003</v>
      </c>
      <c r="Q370">
        <v>540</v>
      </c>
      <c r="R370" t="s">
        <v>1036</v>
      </c>
      <c r="T370" s="57">
        <v>5038426.99</v>
      </c>
      <c r="U370" s="57">
        <v>5289030.54</v>
      </c>
      <c r="V370" s="57">
        <v>5720562.6100000003</v>
      </c>
    </row>
    <row r="371" spans="1:22" ht="15.75" customHeight="1" x14ac:dyDescent="0.3">
      <c r="A371" s="57" t="s">
        <v>571</v>
      </c>
      <c r="B371" s="57" t="s">
        <v>604</v>
      </c>
      <c r="C371" s="58" t="s">
        <v>1277</v>
      </c>
      <c r="D371" s="58" t="s">
        <v>1280</v>
      </c>
      <c r="E371" s="59" t="s">
        <v>1281</v>
      </c>
      <c r="F371" s="55" t="s">
        <v>571</v>
      </c>
      <c r="G371" s="55" t="s">
        <v>604</v>
      </c>
      <c r="H371" t="s">
        <v>605</v>
      </c>
      <c r="I371" t="s">
        <v>605</v>
      </c>
      <c r="J371">
        <v>0</v>
      </c>
      <c r="K371" s="60">
        <v>44002000013</v>
      </c>
      <c r="L371" s="60" t="s">
        <v>615</v>
      </c>
      <c r="M371" s="57">
        <v>75460.59</v>
      </c>
      <c r="N371" s="57">
        <v>141053.87</v>
      </c>
      <c r="O371" s="57">
        <v>147684.45000000001</v>
      </c>
      <c r="Q371">
        <v>540</v>
      </c>
      <c r="R371" t="s">
        <v>1036</v>
      </c>
      <c r="T371" s="57">
        <v>75460.59</v>
      </c>
      <c r="U371" s="57">
        <v>141053.87</v>
      </c>
      <c r="V371" s="57">
        <v>147684.45000000001</v>
      </c>
    </row>
    <row r="372" spans="1:22" ht="15.75" customHeight="1" x14ac:dyDescent="0.3">
      <c r="A372" s="57" t="s">
        <v>571</v>
      </c>
      <c r="B372" s="57" t="s">
        <v>604</v>
      </c>
      <c r="C372" s="58" t="s">
        <v>1277</v>
      </c>
      <c r="D372" s="58" t="s">
        <v>1280</v>
      </c>
      <c r="E372" s="59" t="s">
        <v>1281</v>
      </c>
      <c r="F372" s="55" t="s">
        <v>571</v>
      </c>
      <c r="G372" s="55" t="s">
        <v>604</v>
      </c>
      <c r="H372" s="64" t="s">
        <v>605</v>
      </c>
      <c r="I372" s="64" t="s">
        <v>605</v>
      </c>
      <c r="J372" s="64">
        <v>0</v>
      </c>
      <c r="K372" s="60">
        <v>44002000014</v>
      </c>
      <c r="L372" s="60" t="s">
        <v>616</v>
      </c>
      <c r="M372" s="57">
        <v>3763.19</v>
      </c>
      <c r="N372" s="57">
        <v>5622.1</v>
      </c>
      <c r="O372" s="57">
        <v>7740.49</v>
      </c>
      <c r="Q372">
        <v>540</v>
      </c>
      <c r="R372" t="s">
        <v>1036</v>
      </c>
      <c r="T372" s="57">
        <v>3763.19</v>
      </c>
      <c r="U372" s="57">
        <v>5622.1</v>
      </c>
      <c r="V372" s="57">
        <v>7740.49</v>
      </c>
    </row>
    <row r="373" spans="1:22" ht="15.75" customHeight="1" x14ac:dyDescent="0.3">
      <c r="A373" s="57" t="s">
        <v>571</v>
      </c>
      <c r="B373" s="57" t="s">
        <v>604</v>
      </c>
      <c r="C373" s="58" t="s">
        <v>1277</v>
      </c>
      <c r="D373" s="58" t="s">
        <v>1280</v>
      </c>
      <c r="E373" s="59" t="s">
        <v>1281</v>
      </c>
      <c r="F373" s="55" t="s">
        <v>571</v>
      </c>
      <c r="G373" s="55" t="s">
        <v>604</v>
      </c>
      <c r="H373" s="64" t="s">
        <v>605</v>
      </c>
      <c r="I373" s="64" t="s">
        <v>605</v>
      </c>
      <c r="J373" s="64">
        <v>0</v>
      </c>
      <c r="K373" s="60">
        <v>44002000015</v>
      </c>
      <c r="L373" s="60" t="s">
        <v>617</v>
      </c>
      <c r="M373" s="57">
        <v>9840.2900000000009</v>
      </c>
      <c r="N373" s="57">
        <v>6127</v>
      </c>
      <c r="O373" s="57">
        <v>10578.78</v>
      </c>
      <c r="Q373">
        <v>540</v>
      </c>
      <c r="R373" t="s">
        <v>1036</v>
      </c>
      <c r="T373" s="57">
        <v>9840.2900000000009</v>
      </c>
      <c r="U373" s="57">
        <v>6127</v>
      </c>
      <c r="V373" s="57">
        <v>10578.78</v>
      </c>
    </row>
    <row r="374" spans="1:22" ht="15.75" customHeight="1" x14ac:dyDescent="0.3">
      <c r="A374" s="57" t="s">
        <v>571</v>
      </c>
      <c r="B374" s="57" t="s">
        <v>604</v>
      </c>
      <c r="C374" s="58" t="s">
        <v>1277</v>
      </c>
      <c r="D374" s="58" t="s">
        <v>1280</v>
      </c>
      <c r="E374" s="59" t="s">
        <v>1281</v>
      </c>
      <c r="F374" s="55" t="s">
        <v>571</v>
      </c>
      <c r="G374" s="55" t="s">
        <v>604</v>
      </c>
      <c r="H374" t="s">
        <v>605</v>
      </c>
      <c r="I374" t="s">
        <v>605</v>
      </c>
      <c r="J374">
        <v>0</v>
      </c>
      <c r="K374" s="60">
        <v>44002000018</v>
      </c>
      <c r="L374" s="60" t="s">
        <v>618</v>
      </c>
      <c r="M374" s="57">
        <v>0</v>
      </c>
      <c r="N374" s="57">
        <v>6807.42</v>
      </c>
      <c r="O374" s="57">
        <v>0</v>
      </c>
      <c r="Q374">
        <v>540</v>
      </c>
      <c r="R374" t="s">
        <v>1036</v>
      </c>
      <c r="T374" s="57">
        <v>0</v>
      </c>
      <c r="U374" s="57">
        <v>6807.42</v>
      </c>
      <c r="V374" s="57">
        <v>0</v>
      </c>
    </row>
    <row r="375" spans="1:22" ht="15.75" customHeight="1" x14ac:dyDescent="0.3">
      <c r="A375" s="57" t="s">
        <v>571</v>
      </c>
      <c r="B375" s="57" t="s">
        <v>604</v>
      </c>
      <c r="C375" s="58" t="s">
        <v>1277</v>
      </c>
      <c r="D375" s="58" t="s">
        <v>1280</v>
      </c>
      <c r="E375" s="59" t="s">
        <v>1281</v>
      </c>
      <c r="F375" s="55" t="s">
        <v>571</v>
      </c>
      <c r="G375" s="55" t="s">
        <v>604</v>
      </c>
      <c r="H375" t="s">
        <v>605</v>
      </c>
      <c r="I375" t="s">
        <v>605</v>
      </c>
      <c r="J375">
        <v>0</v>
      </c>
      <c r="K375" s="60">
        <v>44002000019</v>
      </c>
      <c r="L375" s="60" t="s">
        <v>619</v>
      </c>
      <c r="M375" s="57">
        <v>16221.51</v>
      </c>
      <c r="N375" s="57">
        <v>8709.8799999999992</v>
      </c>
      <c r="O375" s="57">
        <v>3520.38</v>
      </c>
      <c r="Q375">
        <v>540</v>
      </c>
      <c r="R375" t="s">
        <v>1036</v>
      </c>
      <c r="T375" s="57">
        <v>16221.51</v>
      </c>
      <c r="U375" s="57">
        <v>8709.8799999999992</v>
      </c>
      <c r="V375" s="57">
        <v>3520.38</v>
      </c>
    </row>
    <row r="376" spans="1:22" ht="15.75" customHeight="1" x14ac:dyDescent="0.3">
      <c r="A376" s="57" t="s">
        <v>571</v>
      </c>
      <c r="B376" s="57" t="s">
        <v>604</v>
      </c>
      <c r="C376" s="58" t="s">
        <v>1277</v>
      </c>
      <c r="D376" s="58" t="s">
        <v>1280</v>
      </c>
      <c r="E376" s="59" t="s">
        <v>1281</v>
      </c>
      <c r="F376" s="55" t="s">
        <v>571</v>
      </c>
      <c r="G376" s="55" t="s">
        <v>604</v>
      </c>
      <c r="H376" t="s">
        <v>605</v>
      </c>
      <c r="I376" t="s">
        <v>605</v>
      </c>
      <c r="J376">
        <v>0</v>
      </c>
      <c r="K376" s="60">
        <v>44002000020</v>
      </c>
      <c r="L376" s="60" t="s">
        <v>620</v>
      </c>
      <c r="M376" s="57">
        <v>8186.84</v>
      </c>
      <c r="N376" s="57">
        <v>10084.59</v>
      </c>
      <c r="O376" s="57">
        <v>11257.84</v>
      </c>
      <c r="Q376">
        <v>540</v>
      </c>
      <c r="R376" t="s">
        <v>1036</v>
      </c>
      <c r="T376" s="57">
        <v>8186.84</v>
      </c>
      <c r="U376" s="57">
        <v>10084.59</v>
      </c>
      <c r="V376" s="57">
        <v>11257.84</v>
      </c>
    </row>
    <row r="377" spans="1:22" ht="15.75" customHeight="1" x14ac:dyDescent="0.3">
      <c r="A377" s="57" t="s">
        <v>571</v>
      </c>
      <c r="B377" s="57" t="s">
        <v>604</v>
      </c>
      <c r="C377" s="58" t="s">
        <v>1277</v>
      </c>
      <c r="D377" s="58" t="s">
        <v>1280</v>
      </c>
      <c r="E377" s="59" t="s">
        <v>1281</v>
      </c>
      <c r="F377" s="55" t="s">
        <v>571</v>
      </c>
      <c r="G377" s="55" t="s">
        <v>604</v>
      </c>
      <c r="H377" t="s">
        <v>605</v>
      </c>
      <c r="I377" t="s">
        <v>605</v>
      </c>
      <c r="J377">
        <v>0</v>
      </c>
      <c r="K377" s="60">
        <v>44002000021</v>
      </c>
      <c r="L377" s="60" t="s">
        <v>621</v>
      </c>
      <c r="M377" s="57">
        <v>396344.41</v>
      </c>
      <c r="N377" s="57">
        <v>385621.33</v>
      </c>
      <c r="O377" s="57">
        <v>325607.64</v>
      </c>
      <c r="Q377">
        <v>540</v>
      </c>
      <c r="R377" t="s">
        <v>1036</v>
      </c>
      <c r="T377" s="57">
        <v>396344.41</v>
      </c>
      <c r="U377" s="57">
        <v>385621.33</v>
      </c>
      <c r="V377" s="57">
        <v>325607.64</v>
      </c>
    </row>
    <row r="378" spans="1:22" ht="15.75" customHeight="1" x14ac:dyDescent="0.3">
      <c r="A378" s="57" t="s">
        <v>571</v>
      </c>
      <c r="B378" s="57" t="s">
        <v>604</v>
      </c>
      <c r="C378" s="58" t="s">
        <v>1277</v>
      </c>
      <c r="D378" s="58" t="s">
        <v>1280</v>
      </c>
      <c r="E378" s="59" t="s">
        <v>1281</v>
      </c>
      <c r="F378" s="55" t="s">
        <v>571</v>
      </c>
      <c r="G378" s="55" t="s">
        <v>604</v>
      </c>
      <c r="H378" t="s">
        <v>605</v>
      </c>
      <c r="I378" t="s">
        <v>605</v>
      </c>
      <c r="J378">
        <v>0</v>
      </c>
      <c r="K378" s="60">
        <v>44002000022</v>
      </c>
      <c r="L378" s="60" t="s">
        <v>622</v>
      </c>
      <c r="M378" s="57">
        <v>114525.5</v>
      </c>
      <c r="N378" s="57">
        <v>75233.5</v>
      </c>
      <c r="O378" s="57">
        <v>90094.8</v>
      </c>
      <c r="Q378">
        <v>540</v>
      </c>
      <c r="R378" t="s">
        <v>1036</v>
      </c>
      <c r="T378" s="57">
        <v>114525.5</v>
      </c>
      <c r="U378" s="57">
        <v>75233.5</v>
      </c>
      <c r="V378" s="57">
        <v>90094.8</v>
      </c>
    </row>
    <row r="379" spans="1:22" ht="15.75" customHeight="1" x14ac:dyDescent="0.3">
      <c r="A379" s="57" t="s">
        <v>571</v>
      </c>
      <c r="B379" s="57" t="s">
        <v>604</v>
      </c>
      <c r="C379" s="58" t="s">
        <v>1277</v>
      </c>
      <c r="D379" s="58" t="s">
        <v>1280</v>
      </c>
      <c r="E379" s="59" t="s">
        <v>1281</v>
      </c>
      <c r="F379" s="55" t="s">
        <v>571</v>
      </c>
      <c r="G379" s="55" t="s">
        <v>604</v>
      </c>
      <c r="H379" t="s">
        <v>605</v>
      </c>
      <c r="I379" t="s">
        <v>605</v>
      </c>
      <c r="J379">
        <v>0</v>
      </c>
      <c r="K379" s="60">
        <v>44002000024</v>
      </c>
      <c r="L379" s="60" t="s">
        <v>623</v>
      </c>
      <c r="M379" s="57">
        <v>86087.4</v>
      </c>
      <c r="N379" s="57">
        <v>118728.29</v>
      </c>
      <c r="O379" s="57">
        <v>102956.79</v>
      </c>
      <c r="Q379">
        <v>540</v>
      </c>
      <c r="R379" t="s">
        <v>1036</v>
      </c>
      <c r="T379" s="57">
        <v>86087.4</v>
      </c>
      <c r="U379" s="57">
        <v>118728.29</v>
      </c>
      <c r="V379" s="57">
        <v>102956.79</v>
      </c>
    </row>
    <row r="380" spans="1:22" ht="15.75" customHeight="1" x14ac:dyDescent="0.3">
      <c r="A380" s="57" t="s">
        <v>571</v>
      </c>
      <c r="B380" s="57" t="s">
        <v>604</v>
      </c>
      <c r="C380" s="58" t="s">
        <v>1277</v>
      </c>
      <c r="D380" s="58" t="s">
        <v>1280</v>
      </c>
      <c r="E380" s="59" t="s">
        <v>1281</v>
      </c>
      <c r="F380" s="55" t="s">
        <v>571</v>
      </c>
      <c r="G380" s="55" t="s">
        <v>604</v>
      </c>
      <c r="H380" t="s">
        <v>605</v>
      </c>
      <c r="I380" t="s">
        <v>605</v>
      </c>
      <c r="J380">
        <v>0</v>
      </c>
      <c r="K380" s="60">
        <v>44002000025</v>
      </c>
      <c r="L380" s="60" t="s">
        <v>624</v>
      </c>
      <c r="M380" s="57">
        <v>103620.29</v>
      </c>
      <c r="N380" s="57">
        <v>139341.32</v>
      </c>
      <c r="O380" s="57">
        <v>182546.61</v>
      </c>
      <c r="Q380">
        <v>540</v>
      </c>
      <c r="R380" t="s">
        <v>1036</v>
      </c>
      <c r="T380" s="57">
        <v>103620.29</v>
      </c>
      <c r="U380" s="57">
        <v>139341.32</v>
      </c>
      <c r="V380" s="57">
        <v>182546.61</v>
      </c>
    </row>
    <row r="381" spans="1:22" ht="15.75" customHeight="1" x14ac:dyDescent="0.3">
      <c r="A381" s="57" t="s">
        <v>571</v>
      </c>
      <c r="B381" s="57" t="s">
        <v>604</v>
      </c>
      <c r="C381" s="58" t="s">
        <v>1277</v>
      </c>
      <c r="D381" s="58" t="s">
        <v>1280</v>
      </c>
      <c r="E381" s="59" t="s">
        <v>1281</v>
      </c>
      <c r="F381" s="55" t="s">
        <v>571</v>
      </c>
      <c r="G381" s="55" t="s">
        <v>604</v>
      </c>
      <c r="H381" t="s">
        <v>605</v>
      </c>
      <c r="I381" t="s">
        <v>605</v>
      </c>
      <c r="J381">
        <v>0</v>
      </c>
      <c r="K381" s="60">
        <v>44002000026</v>
      </c>
      <c r="L381" s="60" t="s">
        <v>625</v>
      </c>
      <c r="M381" s="57">
        <v>14603.73</v>
      </c>
      <c r="N381" s="57">
        <v>11659.55</v>
      </c>
      <c r="O381" s="57">
        <v>9653.5</v>
      </c>
      <c r="Q381">
        <v>540</v>
      </c>
      <c r="R381" t="s">
        <v>1036</v>
      </c>
      <c r="T381" s="57">
        <v>14603.73</v>
      </c>
      <c r="U381" s="57">
        <v>11659.55</v>
      </c>
      <c r="V381" s="57">
        <v>9653.5</v>
      </c>
    </row>
    <row r="382" spans="1:22" ht="15.75" customHeight="1" x14ac:dyDescent="0.3">
      <c r="A382" s="57" t="s">
        <v>571</v>
      </c>
      <c r="B382" s="57" t="s">
        <v>604</v>
      </c>
      <c r="C382" s="58" t="s">
        <v>1277</v>
      </c>
      <c r="D382" s="58" t="s">
        <v>1280</v>
      </c>
      <c r="E382" s="59" t="s">
        <v>1281</v>
      </c>
      <c r="F382" s="55" t="s">
        <v>571</v>
      </c>
      <c r="G382" s="55" t="s">
        <v>604</v>
      </c>
      <c r="H382" t="s">
        <v>605</v>
      </c>
      <c r="I382" t="s">
        <v>605</v>
      </c>
      <c r="J382">
        <v>0</v>
      </c>
      <c r="K382" s="60">
        <v>55005000099</v>
      </c>
      <c r="L382" s="60" t="s">
        <v>626</v>
      </c>
      <c r="M382" s="57">
        <v>-1512.69</v>
      </c>
      <c r="N382" s="57">
        <v>-1343.36</v>
      </c>
      <c r="O382" s="57">
        <v>-1944.56</v>
      </c>
      <c r="Q382">
        <v>540</v>
      </c>
      <c r="R382" t="s">
        <v>1036</v>
      </c>
      <c r="T382" s="57">
        <v>-1512.69</v>
      </c>
      <c r="U382" s="57">
        <v>-1343.36</v>
      </c>
      <c r="V382" s="57">
        <v>-1944.56</v>
      </c>
    </row>
    <row r="383" spans="1:22" ht="15.75" customHeight="1" x14ac:dyDescent="0.3">
      <c r="A383" s="57" t="s">
        <v>571</v>
      </c>
      <c r="B383" s="57" t="s">
        <v>604</v>
      </c>
      <c r="C383" s="58" t="s">
        <v>1277</v>
      </c>
      <c r="D383" s="58" t="s">
        <v>1280</v>
      </c>
      <c r="E383" s="59" t="s">
        <v>1281</v>
      </c>
      <c r="F383" s="55" t="s">
        <v>571</v>
      </c>
      <c r="G383" s="55" t="s">
        <v>604</v>
      </c>
      <c r="H383" t="s">
        <v>605</v>
      </c>
      <c r="I383" t="s">
        <v>605</v>
      </c>
      <c r="J383">
        <v>0</v>
      </c>
      <c r="K383" s="60">
        <v>44004000030</v>
      </c>
      <c r="L383" s="60" t="s">
        <v>627</v>
      </c>
      <c r="M383" s="57">
        <v>10032.280000000001</v>
      </c>
      <c r="N383" s="57">
        <v>11238.31</v>
      </c>
      <c r="O383" s="57">
        <v>17666.39</v>
      </c>
      <c r="Q383">
        <v>540</v>
      </c>
      <c r="R383" t="s">
        <v>1036</v>
      </c>
      <c r="T383" s="57">
        <v>10032.280000000001</v>
      </c>
      <c r="U383" s="57">
        <v>11238.31</v>
      </c>
      <c r="V383" s="57">
        <v>17666.39</v>
      </c>
    </row>
    <row r="384" spans="1:22" ht="15.75" customHeight="1" x14ac:dyDescent="0.3">
      <c r="A384" s="57" t="s">
        <v>571</v>
      </c>
      <c r="B384" s="57" t="s">
        <v>604</v>
      </c>
      <c r="C384" s="58" t="s">
        <v>1277</v>
      </c>
      <c r="D384" s="58" t="s">
        <v>1280</v>
      </c>
      <c r="E384" s="59" t="s">
        <v>1281</v>
      </c>
      <c r="F384" s="55" t="s">
        <v>571</v>
      </c>
      <c r="G384" s="55" t="s">
        <v>604</v>
      </c>
      <c r="H384" t="s">
        <v>605</v>
      </c>
      <c r="I384" t="s">
        <v>605</v>
      </c>
      <c r="J384">
        <v>0</v>
      </c>
      <c r="K384" s="60">
        <v>44004000035</v>
      </c>
      <c r="L384" s="60" t="s">
        <v>628</v>
      </c>
      <c r="M384" s="57">
        <v>1847.91</v>
      </c>
      <c r="N384" s="57">
        <v>2736.42</v>
      </c>
      <c r="O384" s="57">
        <v>8749.6200000000008</v>
      </c>
      <c r="Q384">
        <v>540</v>
      </c>
      <c r="R384" t="s">
        <v>1036</v>
      </c>
      <c r="T384" s="57">
        <v>1847.91</v>
      </c>
      <c r="U384" s="57">
        <v>2736.42</v>
      </c>
      <c r="V384" s="57">
        <v>8749.6200000000008</v>
      </c>
    </row>
    <row r="385" spans="1:22" ht="15.75" customHeight="1" x14ac:dyDescent="0.3">
      <c r="A385" s="57" t="s">
        <v>571</v>
      </c>
      <c r="B385" s="57" t="s">
        <v>604</v>
      </c>
      <c r="C385" s="58" t="s">
        <v>1277</v>
      </c>
      <c r="D385" s="58" t="s">
        <v>1280</v>
      </c>
      <c r="E385" s="59" t="s">
        <v>1281</v>
      </c>
      <c r="F385" s="55" t="s">
        <v>571</v>
      </c>
      <c r="G385" s="55" t="s">
        <v>604</v>
      </c>
      <c r="H385" t="s">
        <v>605</v>
      </c>
      <c r="I385" t="s">
        <v>605</v>
      </c>
      <c r="J385">
        <v>0</v>
      </c>
      <c r="K385" s="60">
        <v>44004000037</v>
      </c>
      <c r="L385" s="60" t="s">
        <v>629</v>
      </c>
      <c r="M385" s="57">
        <v>4805.6499999999996</v>
      </c>
      <c r="N385" s="57">
        <v>6691.9</v>
      </c>
      <c r="O385" s="57">
        <v>6464.65</v>
      </c>
      <c r="Q385">
        <v>540</v>
      </c>
      <c r="R385" t="s">
        <v>1036</v>
      </c>
      <c r="T385" s="57">
        <v>4805.6499999999996</v>
      </c>
      <c r="U385" s="57">
        <v>6691.9</v>
      </c>
      <c r="V385" s="57">
        <v>6464.65</v>
      </c>
    </row>
    <row r="386" spans="1:22" ht="15.75" customHeight="1" x14ac:dyDescent="0.3">
      <c r="A386" s="57" t="s">
        <v>571</v>
      </c>
      <c r="B386" s="57" t="s">
        <v>604</v>
      </c>
      <c r="C386" s="58" t="s">
        <v>1277</v>
      </c>
      <c r="D386" s="58" t="s">
        <v>1280</v>
      </c>
      <c r="E386" s="59" t="s">
        <v>1281</v>
      </c>
      <c r="F386" s="55" t="s">
        <v>571</v>
      </c>
      <c r="G386" s="55" t="s">
        <v>604</v>
      </c>
      <c r="H386" t="s">
        <v>605</v>
      </c>
      <c r="I386" t="s">
        <v>605</v>
      </c>
      <c r="J386">
        <v>0</v>
      </c>
      <c r="K386" s="60">
        <v>44005000019</v>
      </c>
      <c r="L386" s="60" t="s">
        <v>630</v>
      </c>
      <c r="M386" s="57">
        <v>25568.14</v>
      </c>
      <c r="N386" s="57">
        <v>23620.18</v>
      </c>
      <c r="O386" s="57">
        <v>30424.95</v>
      </c>
      <c r="Q386">
        <v>540</v>
      </c>
      <c r="R386" t="s">
        <v>1036</v>
      </c>
      <c r="T386" s="57">
        <v>25568.14</v>
      </c>
      <c r="U386" s="57">
        <v>23620.18</v>
      </c>
      <c r="V386" s="57">
        <v>30424.95</v>
      </c>
    </row>
    <row r="387" spans="1:22" ht="15.75" customHeight="1" x14ac:dyDescent="0.3">
      <c r="A387" s="57" t="s">
        <v>571</v>
      </c>
      <c r="B387" s="57" t="s">
        <v>604</v>
      </c>
      <c r="C387" s="58" t="s">
        <v>1277</v>
      </c>
      <c r="D387" s="58" t="s">
        <v>1280</v>
      </c>
      <c r="E387" s="59" t="s">
        <v>1281</v>
      </c>
      <c r="F387" s="55" t="s">
        <v>571</v>
      </c>
      <c r="G387" s="55" t="s">
        <v>604</v>
      </c>
      <c r="H387" t="s">
        <v>605</v>
      </c>
      <c r="I387" t="s">
        <v>605</v>
      </c>
      <c r="J387">
        <v>0</v>
      </c>
      <c r="K387" s="60">
        <v>44006000007</v>
      </c>
      <c r="L387" s="60" t="s">
        <v>631</v>
      </c>
      <c r="M387" s="57">
        <v>17305.07</v>
      </c>
      <c r="N387" s="57">
        <v>44153.74</v>
      </c>
      <c r="O387" s="57">
        <v>23888.639999999999</v>
      </c>
      <c r="Q387">
        <v>540</v>
      </c>
      <c r="R387" t="s">
        <v>1036</v>
      </c>
      <c r="T387" s="57">
        <v>17305.07</v>
      </c>
      <c r="U387" s="57">
        <v>44153.74</v>
      </c>
      <c r="V387" s="57">
        <v>23888.639999999999</v>
      </c>
    </row>
    <row r="388" spans="1:22" ht="15.75" customHeight="1" x14ac:dyDescent="0.3">
      <c r="A388" s="57" t="s">
        <v>571</v>
      </c>
      <c r="B388" s="57" t="s">
        <v>604</v>
      </c>
      <c r="C388" s="58" t="s">
        <v>1277</v>
      </c>
      <c r="D388" s="58" t="s">
        <v>1280</v>
      </c>
      <c r="E388" s="59" t="s">
        <v>1281</v>
      </c>
      <c r="F388" s="55" t="s">
        <v>571</v>
      </c>
      <c r="G388" s="55" t="s">
        <v>604</v>
      </c>
      <c r="H388" t="s">
        <v>605</v>
      </c>
      <c r="I388" t="s">
        <v>605</v>
      </c>
      <c r="J388">
        <v>0</v>
      </c>
      <c r="K388" s="60">
        <v>44004000006</v>
      </c>
      <c r="L388" s="60" t="s">
        <v>632</v>
      </c>
      <c r="M388" s="57">
        <v>105944.36</v>
      </c>
      <c r="N388" s="57">
        <v>88917.18</v>
      </c>
      <c r="O388" s="57">
        <v>81443.740000000005</v>
      </c>
      <c r="Q388">
        <v>540</v>
      </c>
      <c r="R388" t="s">
        <v>1036</v>
      </c>
      <c r="T388" s="57">
        <v>105944.36</v>
      </c>
      <c r="U388" s="57">
        <v>88917.18</v>
      </c>
      <c r="V388" s="57">
        <v>86714.01</v>
      </c>
    </row>
    <row r="389" spans="1:22" ht="15.75" customHeight="1" x14ac:dyDescent="0.3">
      <c r="A389" s="57" t="s">
        <v>571</v>
      </c>
      <c r="B389" s="57" t="s">
        <v>604</v>
      </c>
      <c r="C389" s="58" t="s">
        <v>1277</v>
      </c>
      <c r="D389" s="58" t="s">
        <v>1280</v>
      </c>
      <c r="E389" s="59" t="s">
        <v>1281</v>
      </c>
      <c r="F389" s="55" t="s">
        <v>571</v>
      </c>
      <c r="G389" s="55" t="s">
        <v>604</v>
      </c>
      <c r="H389" t="s">
        <v>605</v>
      </c>
      <c r="I389" t="s">
        <v>605</v>
      </c>
      <c r="J389">
        <v>0</v>
      </c>
      <c r="K389" s="60">
        <v>44004000007</v>
      </c>
      <c r="L389" s="60" t="s">
        <v>633</v>
      </c>
      <c r="M389" s="57">
        <v>14452.06</v>
      </c>
      <c r="N389" s="57">
        <v>13838.53</v>
      </c>
      <c r="O389" s="57">
        <v>5270.27</v>
      </c>
      <c r="Q389">
        <v>540</v>
      </c>
      <c r="R389" t="s">
        <v>1036</v>
      </c>
      <c r="T389" s="57">
        <v>14452.06</v>
      </c>
      <c r="U389" s="57">
        <v>13838.53</v>
      </c>
      <c r="V389" s="57">
        <v>0</v>
      </c>
    </row>
    <row r="390" spans="1:22" ht="15.75" customHeight="1" x14ac:dyDescent="0.3">
      <c r="A390" s="57" t="s">
        <v>571</v>
      </c>
      <c r="B390" s="57" t="s">
        <v>604</v>
      </c>
      <c r="C390" s="58" t="s">
        <v>1277</v>
      </c>
      <c r="D390" s="58" t="s">
        <v>1280</v>
      </c>
      <c r="E390" s="59" t="s">
        <v>1281</v>
      </c>
      <c r="F390" s="55" t="s">
        <v>571</v>
      </c>
      <c r="G390" s="55" t="s">
        <v>604</v>
      </c>
      <c r="H390" t="s">
        <v>605</v>
      </c>
      <c r="I390" t="s">
        <v>605</v>
      </c>
      <c r="J390">
        <v>0</v>
      </c>
      <c r="K390" s="60">
        <v>44004000009</v>
      </c>
      <c r="L390" s="60" t="s">
        <v>634</v>
      </c>
      <c r="M390" s="57">
        <v>4740.82</v>
      </c>
      <c r="N390" s="57">
        <v>2532.1999999999998</v>
      </c>
      <c r="O390" s="57">
        <v>4245.84</v>
      </c>
      <c r="Q390">
        <v>540</v>
      </c>
      <c r="R390" t="s">
        <v>1036</v>
      </c>
      <c r="T390" s="57">
        <v>4740.82</v>
      </c>
      <c r="U390" s="57">
        <v>2532.1999999999998</v>
      </c>
      <c r="V390" s="57">
        <v>4245.84</v>
      </c>
    </row>
    <row r="391" spans="1:22" ht="15.75" customHeight="1" x14ac:dyDescent="0.3">
      <c r="A391" s="57" t="s">
        <v>571</v>
      </c>
      <c r="B391" s="57" t="s">
        <v>604</v>
      </c>
      <c r="C391" s="58" t="s">
        <v>1277</v>
      </c>
      <c r="D391" s="58" t="s">
        <v>1280</v>
      </c>
      <c r="E391" s="59" t="s">
        <v>1281</v>
      </c>
      <c r="F391" s="55" t="s">
        <v>571</v>
      </c>
      <c r="G391" s="55" t="s">
        <v>604</v>
      </c>
      <c r="H391" t="s">
        <v>605</v>
      </c>
      <c r="I391" t="s">
        <v>605</v>
      </c>
      <c r="J391">
        <v>0</v>
      </c>
      <c r="K391" s="60">
        <v>44004000010</v>
      </c>
      <c r="L391" s="60" t="s">
        <v>635</v>
      </c>
      <c r="M391" s="57">
        <v>0</v>
      </c>
      <c r="N391" s="57">
        <v>1839.2</v>
      </c>
      <c r="O391" s="57">
        <v>479.93</v>
      </c>
      <c r="Q391">
        <v>540</v>
      </c>
      <c r="R391" t="s">
        <v>1036</v>
      </c>
      <c r="T391" s="57">
        <v>0</v>
      </c>
      <c r="U391" s="57">
        <v>1839.2</v>
      </c>
      <c r="V391" s="57">
        <v>479.93</v>
      </c>
    </row>
    <row r="392" spans="1:22" ht="15.75" customHeight="1" x14ac:dyDescent="0.3">
      <c r="A392" s="57" t="s">
        <v>571</v>
      </c>
      <c r="B392" s="57" t="s">
        <v>604</v>
      </c>
      <c r="C392" s="58" t="s">
        <v>1277</v>
      </c>
      <c r="D392" s="58" t="s">
        <v>1280</v>
      </c>
      <c r="E392" s="59" t="s">
        <v>1281</v>
      </c>
      <c r="F392" s="55" t="s">
        <v>571</v>
      </c>
      <c r="G392" s="55" t="s">
        <v>604</v>
      </c>
      <c r="H392" t="s">
        <v>605</v>
      </c>
      <c r="I392" t="s">
        <v>605</v>
      </c>
      <c r="J392">
        <v>0</v>
      </c>
      <c r="K392" s="60">
        <v>44008000002</v>
      </c>
      <c r="L392" s="60" t="s">
        <v>636</v>
      </c>
      <c r="M392" s="57">
        <v>8358.19</v>
      </c>
      <c r="N392" s="57">
        <v>9944.2000000000007</v>
      </c>
      <c r="O392" s="57">
        <v>8457.81</v>
      </c>
      <c r="Q392">
        <v>540</v>
      </c>
      <c r="R392" t="s">
        <v>1036</v>
      </c>
      <c r="T392" s="57">
        <v>8358.19</v>
      </c>
      <c r="U392" s="57">
        <v>9944.2000000000007</v>
      </c>
      <c r="V392" s="57">
        <v>8457.81</v>
      </c>
    </row>
    <row r="393" spans="1:22" ht="15.75" customHeight="1" x14ac:dyDescent="0.3">
      <c r="A393" s="57" t="s">
        <v>571</v>
      </c>
      <c r="B393" s="57" t="s">
        <v>604</v>
      </c>
      <c r="C393" s="58" t="s">
        <v>1277</v>
      </c>
      <c r="D393" s="58" t="s">
        <v>1280</v>
      </c>
      <c r="E393" s="59" t="s">
        <v>1281</v>
      </c>
      <c r="F393" s="55" t="s">
        <v>571</v>
      </c>
      <c r="G393" s="55" t="s">
        <v>604</v>
      </c>
      <c r="H393" t="s">
        <v>605</v>
      </c>
      <c r="I393" t="s">
        <v>605</v>
      </c>
      <c r="J393">
        <v>0</v>
      </c>
      <c r="K393" s="60">
        <v>44002000027</v>
      </c>
      <c r="L393" s="60" t="s">
        <v>637</v>
      </c>
      <c r="M393" s="57">
        <v>138724.16</v>
      </c>
      <c r="N393" s="57">
        <v>0</v>
      </c>
      <c r="O393" s="57">
        <v>0</v>
      </c>
      <c r="Q393">
        <v>540</v>
      </c>
      <c r="R393" t="s">
        <v>1036</v>
      </c>
      <c r="T393" s="57">
        <v>138724.16</v>
      </c>
      <c r="U393" s="57">
        <v>0</v>
      </c>
      <c r="V393" s="57">
        <v>0</v>
      </c>
    </row>
    <row r="394" spans="1:22" ht="15.75" customHeight="1" x14ac:dyDescent="0.3">
      <c r="A394" s="57" t="s">
        <v>571</v>
      </c>
      <c r="B394" s="57" t="s">
        <v>604</v>
      </c>
      <c r="C394" s="58" t="s">
        <v>1277</v>
      </c>
      <c r="D394" s="58" t="s">
        <v>1072</v>
      </c>
      <c r="E394" s="59" t="s">
        <v>1282</v>
      </c>
      <c r="F394" s="55" t="s">
        <v>571</v>
      </c>
      <c r="G394" s="55" t="s">
        <v>604</v>
      </c>
      <c r="H394" t="s">
        <v>638</v>
      </c>
      <c r="I394" t="s">
        <v>638</v>
      </c>
      <c r="J394">
        <v>0</v>
      </c>
      <c r="K394" s="60">
        <v>44005000020</v>
      </c>
      <c r="L394" s="60" t="s">
        <v>639</v>
      </c>
      <c r="M394" s="57">
        <v>780.98</v>
      </c>
      <c r="N394" s="57">
        <v>0</v>
      </c>
      <c r="O394" s="57">
        <v>0</v>
      </c>
      <c r="Q394">
        <v>550</v>
      </c>
      <c r="R394" t="s">
        <v>1037</v>
      </c>
      <c r="T394" s="57">
        <v>780.98</v>
      </c>
      <c r="U394" s="57">
        <v>0</v>
      </c>
      <c r="V394" s="57">
        <v>0</v>
      </c>
    </row>
    <row r="395" spans="1:22" ht="15.75" customHeight="1" x14ac:dyDescent="0.3">
      <c r="A395" s="57" t="s">
        <v>571</v>
      </c>
      <c r="B395" s="57" t="s">
        <v>604</v>
      </c>
      <c r="C395" s="58" t="s">
        <v>1277</v>
      </c>
      <c r="D395" s="58" t="s">
        <v>1072</v>
      </c>
      <c r="E395" s="59" t="s">
        <v>1282</v>
      </c>
      <c r="F395" s="55" t="s">
        <v>571</v>
      </c>
      <c r="G395" s="55" t="s">
        <v>604</v>
      </c>
      <c r="H395" t="s">
        <v>638</v>
      </c>
      <c r="I395" t="s">
        <v>638</v>
      </c>
      <c r="J395">
        <v>0</v>
      </c>
      <c r="K395" s="60">
        <v>44004000001</v>
      </c>
      <c r="L395" s="60" t="s">
        <v>640</v>
      </c>
      <c r="M395" s="57">
        <v>648403.18999999994</v>
      </c>
      <c r="N395" s="57">
        <v>633517.89</v>
      </c>
      <c r="O395" s="57">
        <v>620564.17000000004</v>
      </c>
      <c r="Q395">
        <v>550</v>
      </c>
      <c r="R395" t="s">
        <v>1037</v>
      </c>
      <c r="T395" s="57">
        <v>648403.18999999994</v>
      </c>
      <c r="U395" s="57">
        <v>633517.89</v>
      </c>
      <c r="V395" s="57">
        <v>620564.17000000004</v>
      </c>
    </row>
    <row r="396" spans="1:22" ht="15.75" customHeight="1" x14ac:dyDescent="0.3">
      <c r="A396" s="57" t="s">
        <v>571</v>
      </c>
      <c r="B396" s="57" t="s">
        <v>604</v>
      </c>
      <c r="C396" s="58" t="s">
        <v>1277</v>
      </c>
      <c r="D396" s="58" t="s">
        <v>1072</v>
      </c>
      <c r="E396" s="59" t="s">
        <v>1282</v>
      </c>
      <c r="F396" s="55" t="s">
        <v>571</v>
      </c>
      <c r="G396" s="55" t="s">
        <v>604</v>
      </c>
      <c r="H396" t="s">
        <v>638</v>
      </c>
      <c r="I396" t="s">
        <v>638</v>
      </c>
      <c r="J396">
        <v>0</v>
      </c>
      <c r="K396" s="60">
        <v>44004000002</v>
      </c>
      <c r="L396" s="60" t="s">
        <v>641</v>
      </c>
      <c r="M396" s="57">
        <v>27224.32</v>
      </c>
      <c r="N396" s="57">
        <v>26693.37</v>
      </c>
      <c r="O396" s="57">
        <v>24871.42</v>
      </c>
      <c r="Q396">
        <v>550</v>
      </c>
      <c r="R396" t="s">
        <v>1037</v>
      </c>
      <c r="T396" s="57">
        <v>27224.32</v>
      </c>
      <c r="U396" s="57">
        <v>26693.37</v>
      </c>
      <c r="V396" s="57">
        <v>24871.42</v>
      </c>
    </row>
    <row r="397" spans="1:22" ht="15.75" customHeight="1" x14ac:dyDescent="0.3">
      <c r="A397" s="57" t="s">
        <v>571</v>
      </c>
      <c r="B397" s="57" t="s">
        <v>604</v>
      </c>
      <c r="C397" s="58" t="s">
        <v>1277</v>
      </c>
      <c r="D397" s="58" t="s">
        <v>1072</v>
      </c>
      <c r="E397" s="59" t="s">
        <v>1282</v>
      </c>
      <c r="F397" s="55" t="s">
        <v>571</v>
      </c>
      <c r="G397" s="55" t="s">
        <v>604</v>
      </c>
      <c r="H397" t="s">
        <v>638</v>
      </c>
      <c r="I397" t="s">
        <v>638</v>
      </c>
      <c r="J397">
        <v>0</v>
      </c>
      <c r="K397" s="60">
        <v>44004000003</v>
      </c>
      <c r="L397" s="60" t="s">
        <v>642</v>
      </c>
      <c r="M397" s="57">
        <v>223078.24</v>
      </c>
      <c r="N397" s="57">
        <v>184216.87</v>
      </c>
      <c r="O397" s="57">
        <v>187020.4</v>
      </c>
      <c r="Q397">
        <v>550</v>
      </c>
      <c r="R397" t="s">
        <v>1037</v>
      </c>
      <c r="T397" s="57">
        <v>223078.24</v>
      </c>
      <c r="U397" s="57">
        <v>184216.87</v>
      </c>
      <c r="V397" s="57">
        <v>187020.4</v>
      </c>
    </row>
    <row r="398" spans="1:22" ht="15.75" customHeight="1" x14ac:dyDescent="0.3">
      <c r="A398" s="57" t="s">
        <v>571</v>
      </c>
      <c r="B398" s="57" t="s">
        <v>604</v>
      </c>
      <c r="C398" s="58" t="s">
        <v>1277</v>
      </c>
      <c r="D398" s="58" t="s">
        <v>1072</v>
      </c>
      <c r="E398" s="59" t="s">
        <v>1282</v>
      </c>
      <c r="F398" s="55" t="s">
        <v>571</v>
      </c>
      <c r="G398" s="55" t="s">
        <v>604</v>
      </c>
      <c r="H398" t="s">
        <v>638</v>
      </c>
      <c r="I398" t="s">
        <v>638</v>
      </c>
      <c r="J398">
        <v>0</v>
      </c>
      <c r="K398" s="60">
        <v>44004000004</v>
      </c>
      <c r="L398" s="60" t="s">
        <v>643</v>
      </c>
      <c r="M398" s="57">
        <v>8693.67</v>
      </c>
      <c r="N398" s="57">
        <v>7658.02</v>
      </c>
      <c r="O398" s="57">
        <v>8622.42</v>
      </c>
      <c r="Q398">
        <v>550</v>
      </c>
      <c r="R398" t="s">
        <v>1037</v>
      </c>
      <c r="T398" s="57">
        <v>8693.67</v>
      </c>
      <c r="U398" s="57">
        <v>7658.02</v>
      </c>
      <c r="V398" s="57">
        <v>8622.42</v>
      </c>
    </row>
    <row r="399" spans="1:22" ht="15.75" customHeight="1" x14ac:dyDescent="0.3">
      <c r="A399" s="57" t="s">
        <v>571</v>
      </c>
      <c r="B399" s="57" t="s">
        <v>604</v>
      </c>
      <c r="C399" s="58" t="s">
        <v>1277</v>
      </c>
      <c r="D399" s="58" t="s">
        <v>1072</v>
      </c>
      <c r="E399" s="59" t="s">
        <v>1282</v>
      </c>
      <c r="F399" s="55" t="s">
        <v>571</v>
      </c>
      <c r="G399" s="55" t="s">
        <v>604</v>
      </c>
      <c r="H399" t="s">
        <v>638</v>
      </c>
      <c r="I399" t="s">
        <v>638</v>
      </c>
      <c r="J399">
        <v>0</v>
      </c>
      <c r="K399" s="60">
        <v>44004000008</v>
      </c>
      <c r="L399" s="60" t="s">
        <v>644</v>
      </c>
      <c r="M399" s="57">
        <v>19409.8</v>
      </c>
      <c r="N399" s="57">
        <v>17335.79</v>
      </c>
      <c r="O399" s="57">
        <v>26981.78</v>
      </c>
      <c r="Q399">
        <v>550</v>
      </c>
      <c r="R399" t="s">
        <v>1037</v>
      </c>
      <c r="T399" s="57">
        <v>19409.8</v>
      </c>
      <c r="U399" s="57">
        <v>17335.79</v>
      </c>
      <c r="V399" s="57">
        <v>26981.78</v>
      </c>
    </row>
    <row r="400" spans="1:22" ht="15.75" customHeight="1" x14ac:dyDescent="0.3">
      <c r="A400" s="57" t="s">
        <v>571</v>
      </c>
      <c r="B400" s="57" t="s">
        <v>604</v>
      </c>
      <c r="C400" s="58" t="s">
        <v>1277</v>
      </c>
      <c r="D400" s="58" t="s">
        <v>1072</v>
      </c>
      <c r="E400" s="59" t="s">
        <v>1282</v>
      </c>
      <c r="F400" s="55" t="s">
        <v>571</v>
      </c>
      <c r="G400" s="55" t="s">
        <v>604</v>
      </c>
      <c r="H400" t="s">
        <v>638</v>
      </c>
      <c r="I400" t="s">
        <v>638</v>
      </c>
      <c r="J400">
        <v>0</v>
      </c>
      <c r="K400" s="60">
        <v>44004000011</v>
      </c>
      <c r="L400" s="60" t="s">
        <v>645</v>
      </c>
      <c r="M400" s="57">
        <v>4455.41</v>
      </c>
      <c r="N400" s="57">
        <v>33730.11</v>
      </c>
      <c r="O400" s="57">
        <v>15036.36</v>
      </c>
      <c r="Q400">
        <v>550</v>
      </c>
      <c r="R400" t="s">
        <v>1037</v>
      </c>
      <c r="T400" s="57">
        <v>4455.41</v>
      </c>
      <c r="U400" s="57">
        <v>33730.11</v>
      </c>
      <c r="V400" s="57">
        <v>15036.36</v>
      </c>
    </row>
    <row r="401" spans="1:22" ht="15.75" customHeight="1" x14ac:dyDescent="0.3">
      <c r="A401" s="57" t="s">
        <v>571</v>
      </c>
      <c r="B401" s="57" t="s">
        <v>604</v>
      </c>
      <c r="C401" s="58" t="s">
        <v>1277</v>
      </c>
      <c r="D401" s="58" t="s">
        <v>1072</v>
      </c>
      <c r="E401" s="59" t="s">
        <v>1282</v>
      </c>
      <c r="F401" s="55" t="s">
        <v>571</v>
      </c>
      <c r="G401" s="55" t="s">
        <v>604</v>
      </c>
      <c r="H401" t="s">
        <v>638</v>
      </c>
      <c r="I401" t="s">
        <v>638</v>
      </c>
      <c r="J401">
        <v>0</v>
      </c>
      <c r="K401" s="60">
        <v>44004000012</v>
      </c>
      <c r="L401" s="60" t="s">
        <v>646</v>
      </c>
      <c r="M401" s="57">
        <v>26376.82</v>
      </c>
      <c r="N401" s="57">
        <v>35737.1</v>
      </c>
      <c r="O401" s="57">
        <v>28597.11</v>
      </c>
      <c r="Q401">
        <v>550</v>
      </c>
      <c r="R401" t="s">
        <v>1037</v>
      </c>
      <c r="T401" s="57">
        <v>26376.82</v>
      </c>
      <c r="U401" s="57">
        <v>35737.1</v>
      </c>
      <c r="V401" s="57">
        <v>28597.11</v>
      </c>
    </row>
    <row r="402" spans="1:22" ht="15.75" customHeight="1" x14ac:dyDescent="0.3">
      <c r="A402" s="57" t="s">
        <v>571</v>
      </c>
      <c r="B402" s="57" t="s">
        <v>604</v>
      </c>
      <c r="C402" s="58" t="s">
        <v>1277</v>
      </c>
      <c r="D402" s="58" t="s">
        <v>1072</v>
      </c>
      <c r="E402" s="59" t="s">
        <v>1282</v>
      </c>
      <c r="F402" s="55" t="s">
        <v>571</v>
      </c>
      <c r="G402" s="55" t="s">
        <v>604</v>
      </c>
      <c r="H402" t="s">
        <v>638</v>
      </c>
      <c r="I402" t="s">
        <v>638</v>
      </c>
      <c r="J402">
        <v>0</v>
      </c>
      <c r="K402" s="60">
        <v>44004000013</v>
      </c>
      <c r="L402" s="60" t="s">
        <v>647</v>
      </c>
      <c r="M402" s="57">
        <v>718.62</v>
      </c>
      <c r="N402" s="57">
        <v>2842.6</v>
      </c>
      <c r="O402" s="57">
        <v>4939.6499999999996</v>
      </c>
      <c r="Q402">
        <v>550</v>
      </c>
      <c r="R402" t="s">
        <v>1037</v>
      </c>
      <c r="T402" s="57">
        <v>718.62</v>
      </c>
      <c r="U402" s="57">
        <v>2842.6</v>
      </c>
      <c r="V402" s="57">
        <v>10426.64</v>
      </c>
    </row>
    <row r="403" spans="1:22" ht="15.75" customHeight="1" x14ac:dyDescent="0.3">
      <c r="A403" s="57" t="s">
        <v>571</v>
      </c>
      <c r="B403" s="57" t="s">
        <v>604</v>
      </c>
      <c r="C403" s="58" t="s">
        <v>1277</v>
      </c>
      <c r="D403" s="58" t="s">
        <v>1072</v>
      </c>
      <c r="E403" s="59" t="s">
        <v>1282</v>
      </c>
      <c r="F403" s="55" t="s">
        <v>571</v>
      </c>
      <c r="G403" s="55" t="s">
        <v>604</v>
      </c>
      <c r="H403" t="s">
        <v>638</v>
      </c>
      <c r="I403" t="s">
        <v>638</v>
      </c>
      <c r="J403">
        <v>0</v>
      </c>
      <c r="K403" s="60">
        <v>44004000014</v>
      </c>
      <c r="L403" s="60" t="s">
        <v>648</v>
      </c>
      <c r="M403" s="57">
        <v>5630.13</v>
      </c>
      <c r="N403" s="57">
        <v>9763.9500000000007</v>
      </c>
      <c r="O403" s="57">
        <v>3569.66</v>
      </c>
      <c r="Q403">
        <v>550</v>
      </c>
      <c r="R403" t="s">
        <v>1037</v>
      </c>
      <c r="T403" s="57">
        <v>5630.13</v>
      </c>
      <c r="U403" s="57">
        <v>9763.9500000000007</v>
      </c>
      <c r="V403" s="57">
        <v>0</v>
      </c>
    </row>
    <row r="404" spans="1:22" ht="15.75" customHeight="1" x14ac:dyDescent="0.3">
      <c r="A404" s="57" t="s">
        <v>571</v>
      </c>
      <c r="B404" s="57" t="s">
        <v>604</v>
      </c>
      <c r="C404" s="58" t="s">
        <v>1277</v>
      </c>
      <c r="D404" s="58" t="s">
        <v>1072</v>
      </c>
      <c r="E404" s="59" t="s">
        <v>1282</v>
      </c>
      <c r="F404" s="55" t="s">
        <v>571</v>
      </c>
      <c r="G404" s="55" t="s">
        <v>604</v>
      </c>
      <c r="H404" t="s">
        <v>638</v>
      </c>
      <c r="I404" t="s">
        <v>638</v>
      </c>
      <c r="J404">
        <v>0</v>
      </c>
      <c r="K404" s="60">
        <v>44004000015</v>
      </c>
      <c r="L404" s="60" t="s">
        <v>649</v>
      </c>
      <c r="M404" s="57">
        <v>121456.73</v>
      </c>
      <c r="N404" s="57">
        <v>136690.22</v>
      </c>
      <c r="O404" s="57">
        <v>167913.77</v>
      </c>
      <c r="Q404">
        <v>550</v>
      </c>
      <c r="R404" t="s">
        <v>1037</v>
      </c>
      <c r="T404" s="57">
        <v>121456.73</v>
      </c>
      <c r="U404" s="57">
        <v>136690.22</v>
      </c>
      <c r="V404" s="57">
        <v>167913.77</v>
      </c>
    </row>
    <row r="405" spans="1:22" ht="15.75" customHeight="1" x14ac:dyDescent="0.3">
      <c r="A405" s="57" t="s">
        <v>571</v>
      </c>
      <c r="B405" s="57" t="s">
        <v>604</v>
      </c>
      <c r="C405" s="58" t="s">
        <v>1277</v>
      </c>
      <c r="D405" s="58" t="s">
        <v>1072</v>
      </c>
      <c r="E405" s="59" t="s">
        <v>1282</v>
      </c>
      <c r="F405" s="55" t="s">
        <v>571</v>
      </c>
      <c r="G405" s="55" t="s">
        <v>604</v>
      </c>
      <c r="H405" t="s">
        <v>638</v>
      </c>
      <c r="I405" t="s">
        <v>638</v>
      </c>
      <c r="J405">
        <v>0</v>
      </c>
      <c r="K405" s="60">
        <v>44004000016</v>
      </c>
      <c r="L405" s="60" t="s">
        <v>650</v>
      </c>
      <c r="M405" s="57">
        <v>13964.04</v>
      </c>
      <c r="N405" s="57">
        <v>13038.61</v>
      </c>
      <c r="O405" s="57">
        <v>23228.45</v>
      </c>
      <c r="Q405">
        <v>550</v>
      </c>
      <c r="R405" t="s">
        <v>1037</v>
      </c>
      <c r="T405" s="57">
        <v>13964.04</v>
      </c>
      <c r="U405" s="57">
        <v>13038.61</v>
      </c>
      <c r="V405" s="57">
        <v>21747.07</v>
      </c>
    </row>
    <row r="406" spans="1:22" ht="15.75" customHeight="1" x14ac:dyDescent="0.3">
      <c r="A406" s="57" t="s">
        <v>571</v>
      </c>
      <c r="B406" s="57" t="s">
        <v>604</v>
      </c>
      <c r="C406" s="58" t="s">
        <v>1277</v>
      </c>
      <c r="D406" s="58" t="s">
        <v>1072</v>
      </c>
      <c r="E406" s="59" t="s">
        <v>1282</v>
      </c>
      <c r="F406" s="55" t="s">
        <v>571</v>
      </c>
      <c r="G406" s="55" t="s">
        <v>604</v>
      </c>
      <c r="H406" t="s">
        <v>638</v>
      </c>
      <c r="I406" t="s">
        <v>638</v>
      </c>
      <c r="J406">
        <v>0</v>
      </c>
      <c r="K406" s="60">
        <v>44004000018</v>
      </c>
      <c r="L406" s="60" t="s">
        <v>651</v>
      </c>
      <c r="M406" s="57">
        <v>5119.72</v>
      </c>
      <c r="N406" s="57">
        <v>6679.2</v>
      </c>
      <c r="O406" s="57">
        <v>2250.65</v>
      </c>
      <c r="Q406">
        <v>550</v>
      </c>
      <c r="R406" t="s">
        <v>1037</v>
      </c>
      <c r="T406" s="57">
        <v>5119.72</v>
      </c>
      <c r="U406" s="57">
        <v>6679.2</v>
      </c>
      <c r="V406" s="57">
        <v>2250.65</v>
      </c>
    </row>
    <row r="407" spans="1:22" ht="15.75" customHeight="1" x14ac:dyDescent="0.3">
      <c r="A407" s="57" t="s">
        <v>571</v>
      </c>
      <c r="B407" s="57" t="s">
        <v>604</v>
      </c>
      <c r="C407" s="58" t="s">
        <v>1277</v>
      </c>
      <c r="D407" s="58" t="s">
        <v>1072</v>
      </c>
      <c r="E407" s="59" t="s">
        <v>1282</v>
      </c>
      <c r="F407" s="55" t="s">
        <v>571</v>
      </c>
      <c r="G407" s="55" t="s">
        <v>604</v>
      </c>
      <c r="H407" t="s">
        <v>638</v>
      </c>
      <c r="I407" t="s">
        <v>638</v>
      </c>
      <c r="J407">
        <v>0</v>
      </c>
      <c r="K407" s="60">
        <v>44004000019</v>
      </c>
      <c r="L407" s="60" t="s">
        <v>652</v>
      </c>
      <c r="M407" s="57">
        <v>1431.34</v>
      </c>
      <c r="N407" s="57">
        <v>5048.41</v>
      </c>
      <c r="O407" s="57">
        <v>6428.49</v>
      </c>
      <c r="Q407">
        <v>550</v>
      </c>
      <c r="R407" t="s">
        <v>1037</v>
      </c>
      <c r="T407" s="57">
        <v>1431.34</v>
      </c>
      <c r="U407" s="57">
        <v>5048.41</v>
      </c>
      <c r="V407" s="57">
        <v>6428.49</v>
      </c>
    </row>
    <row r="408" spans="1:22" ht="15.75" customHeight="1" x14ac:dyDescent="0.3">
      <c r="A408" s="57" t="s">
        <v>571</v>
      </c>
      <c r="B408" s="57" t="s">
        <v>604</v>
      </c>
      <c r="C408" s="58" t="s">
        <v>1277</v>
      </c>
      <c r="D408" s="58" t="s">
        <v>1072</v>
      </c>
      <c r="E408" s="59" t="s">
        <v>1282</v>
      </c>
      <c r="F408" s="55" t="s">
        <v>571</v>
      </c>
      <c r="G408" s="55" t="s">
        <v>604</v>
      </c>
      <c r="H408" t="s">
        <v>638</v>
      </c>
      <c r="I408" t="s">
        <v>638</v>
      </c>
      <c r="J408">
        <v>0</v>
      </c>
      <c r="K408" s="60">
        <v>44004000020</v>
      </c>
      <c r="L408" s="60" t="s">
        <v>653</v>
      </c>
      <c r="M408" s="57">
        <v>25470.13</v>
      </c>
      <c r="N408" s="57">
        <v>36154.76</v>
      </c>
      <c r="O408" s="57">
        <v>43549.98</v>
      </c>
      <c r="Q408">
        <v>550</v>
      </c>
      <c r="R408" t="s">
        <v>1037</v>
      </c>
      <c r="T408" s="57">
        <v>25470.13</v>
      </c>
      <c r="U408" s="57">
        <v>36154.76</v>
      </c>
      <c r="V408" s="57">
        <v>43549.98</v>
      </c>
    </row>
    <row r="409" spans="1:22" ht="15.75" customHeight="1" x14ac:dyDescent="0.3">
      <c r="A409" s="57" t="s">
        <v>571</v>
      </c>
      <c r="B409" s="57" t="s">
        <v>604</v>
      </c>
      <c r="C409" s="58" t="s">
        <v>1277</v>
      </c>
      <c r="D409" s="58" t="s">
        <v>1072</v>
      </c>
      <c r="E409" s="59" t="s">
        <v>1282</v>
      </c>
      <c r="F409" s="55" t="s">
        <v>571</v>
      </c>
      <c r="G409" s="55" t="s">
        <v>604</v>
      </c>
      <c r="H409" t="s">
        <v>638</v>
      </c>
      <c r="I409" t="s">
        <v>638</v>
      </c>
      <c r="J409">
        <v>0</v>
      </c>
      <c r="K409" s="60">
        <v>44004000021</v>
      </c>
      <c r="L409" s="60" t="s">
        <v>654</v>
      </c>
      <c r="M409" s="57">
        <v>3644.7</v>
      </c>
      <c r="N409" s="57">
        <v>15780.53</v>
      </c>
      <c r="O409" s="57">
        <v>20711.919999999998</v>
      </c>
      <c r="Q409">
        <v>550</v>
      </c>
      <c r="R409" t="s">
        <v>1037</v>
      </c>
      <c r="T409" s="57">
        <v>3644.7</v>
      </c>
      <c r="U409" s="57">
        <v>15780.53</v>
      </c>
      <c r="V409" s="57">
        <v>20711.919999999998</v>
      </c>
    </row>
    <row r="410" spans="1:22" ht="15.75" customHeight="1" x14ac:dyDescent="0.3">
      <c r="A410" s="57" t="s">
        <v>571</v>
      </c>
      <c r="B410" s="57" t="s">
        <v>604</v>
      </c>
      <c r="C410" s="58" t="s">
        <v>1277</v>
      </c>
      <c r="D410" s="58" t="s">
        <v>1072</v>
      </c>
      <c r="E410" s="59" t="s">
        <v>1282</v>
      </c>
      <c r="F410" s="55" t="s">
        <v>571</v>
      </c>
      <c r="G410" s="55" t="s">
        <v>604</v>
      </c>
      <c r="H410" t="s">
        <v>638</v>
      </c>
      <c r="I410" t="s">
        <v>638</v>
      </c>
      <c r="J410">
        <v>0</v>
      </c>
      <c r="K410" s="60">
        <v>44004000022</v>
      </c>
      <c r="L410" s="60" t="s">
        <v>655</v>
      </c>
      <c r="M410" s="57">
        <v>864748.06</v>
      </c>
      <c r="N410" s="57">
        <v>951608.17</v>
      </c>
      <c r="O410" s="57">
        <v>831039.23</v>
      </c>
      <c r="Q410">
        <v>550</v>
      </c>
      <c r="R410" t="s">
        <v>1037</v>
      </c>
      <c r="T410" s="57">
        <v>864748.06</v>
      </c>
      <c r="U410" s="57">
        <v>951608.17</v>
      </c>
      <c r="V410" s="57">
        <v>831039.23</v>
      </c>
    </row>
    <row r="411" spans="1:22" ht="15.75" customHeight="1" x14ac:dyDescent="0.3">
      <c r="A411" s="57" t="s">
        <v>571</v>
      </c>
      <c r="B411" s="57" t="s">
        <v>604</v>
      </c>
      <c r="C411" s="58" t="s">
        <v>1277</v>
      </c>
      <c r="D411" s="58" t="s">
        <v>1072</v>
      </c>
      <c r="E411" s="59" t="s">
        <v>1282</v>
      </c>
      <c r="F411" s="55" t="s">
        <v>571</v>
      </c>
      <c r="G411" s="55" t="s">
        <v>604</v>
      </c>
      <c r="H411" t="s">
        <v>638</v>
      </c>
      <c r="I411" t="s">
        <v>638</v>
      </c>
      <c r="J411">
        <v>0</v>
      </c>
      <c r="K411" s="60">
        <v>44004000023</v>
      </c>
      <c r="L411" s="60" t="s">
        <v>656</v>
      </c>
      <c r="M411" s="57">
        <v>22256.09</v>
      </c>
      <c r="N411" s="57">
        <v>20948.400000000001</v>
      </c>
      <c r="O411" s="57">
        <v>22100.38</v>
      </c>
      <c r="Q411">
        <v>550</v>
      </c>
      <c r="R411" t="s">
        <v>1037</v>
      </c>
      <c r="T411" s="57">
        <v>22256.09</v>
      </c>
      <c r="U411" s="57">
        <v>20948.400000000001</v>
      </c>
      <c r="V411" s="57">
        <v>22100.38</v>
      </c>
    </row>
    <row r="412" spans="1:22" ht="15.75" customHeight="1" x14ac:dyDescent="0.3">
      <c r="A412" s="57" t="s">
        <v>571</v>
      </c>
      <c r="B412" s="57" t="s">
        <v>604</v>
      </c>
      <c r="C412" s="58" t="s">
        <v>1277</v>
      </c>
      <c r="D412" s="58" t="s">
        <v>1072</v>
      </c>
      <c r="E412" s="59" t="s">
        <v>1282</v>
      </c>
      <c r="F412" s="55" t="s">
        <v>571</v>
      </c>
      <c r="G412" s="55" t="s">
        <v>604</v>
      </c>
      <c r="H412" t="s">
        <v>638</v>
      </c>
      <c r="I412" t="s">
        <v>638</v>
      </c>
      <c r="J412">
        <v>0</v>
      </c>
      <c r="K412" s="60">
        <v>44004000024</v>
      </c>
      <c r="L412" s="60" t="s">
        <v>657</v>
      </c>
      <c r="M412" s="57">
        <v>2334.92</v>
      </c>
      <c r="N412" s="57">
        <v>6718.03</v>
      </c>
      <c r="O412" s="57">
        <v>2389.5</v>
      </c>
      <c r="Q412">
        <v>550</v>
      </c>
      <c r="R412" t="s">
        <v>1037</v>
      </c>
      <c r="T412" s="57">
        <v>2334.92</v>
      </c>
      <c r="U412" s="57">
        <v>6718.03</v>
      </c>
      <c r="V412" s="57">
        <v>2389.5</v>
      </c>
    </row>
    <row r="413" spans="1:22" ht="15.75" customHeight="1" x14ac:dyDescent="0.3">
      <c r="A413" s="57" t="s">
        <v>571</v>
      </c>
      <c r="B413" s="57" t="s">
        <v>604</v>
      </c>
      <c r="C413" s="58" t="s">
        <v>1277</v>
      </c>
      <c r="D413" s="58" t="s">
        <v>1072</v>
      </c>
      <c r="E413" s="59" t="s">
        <v>1282</v>
      </c>
      <c r="F413" s="55" t="s">
        <v>571</v>
      </c>
      <c r="G413" s="55" t="s">
        <v>604</v>
      </c>
      <c r="H413" t="s">
        <v>638</v>
      </c>
      <c r="I413" t="s">
        <v>638</v>
      </c>
      <c r="J413">
        <v>0</v>
      </c>
      <c r="K413" s="60">
        <v>44004000025</v>
      </c>
      <c r="L413" s="60" t="s">
        <v>658</v>
      </c>
      <c r="M413" s="57">
        <v>16003.98</v>
      </c>
      <c r="N413" s="57">
        <v>34525.870000000003</v>
      </c>
      <c r="O413" s="57">
        <v>23164.04</v>
      </c>
      <c r="Q413">
        <v>550</v>
      </c>
      <c r="R413" t="s">
        <v>1037</v>
      </c>
      <c r="T413" s="57">
        <v>16003.98</v>
      </c>
      <c r="U413" s="57">
        <v>34525.870000000003</v>
      </c>
      <c r="V413" s="57">
        <v>23164.04</v>
      </c>
    </row>
    <row r="414" spans="1:22" ht="15.75" customHeight="1" x14ac:dyDescent="0.3">
      <c r="A414" s="57" t="s">
        <v>571</v>
      </c>
      <c r="B414" s="57" t="s">
        <v>604</v>
      </c>
      <c r="C414" s="58" t="s">
        <v>1277</v>
      </c>
      <c r="D414" s="58" t="s">
        <v>1072</v>
      </c>
      <c r="E414" s="59" t="s">
        <v>1282</v>
      </c>
      <c r="F414" s="55" t="s">
        <v>571</v>
      </c>
      <c r="G414" s="55" t="s">
        <v>604</v>
      </c>
      <c r="H414" t="s">
        <v>638</v>
      </c>
      <c r="I414" t="s">
        <v>638</v>
      </c>
      <c r="J414">
        <v>0</v>
      </c>
      <c r="K414" s="60">
        <v>44004000026</v>
      </c>
      <c r="L414" s="60" t="s">
        <v>659</v>
      </c>
      <c r="M414" s="57">
        <v>72365.31</v>
      </c>
      <c r="N414" s="57">
        <v>73599.53</v>
      </c>
      <c r="O414" s="57">
        <v>65896.460000000006</v>
      </c>
      <c r="Q414">
        <v>550</v>
      </c>
      <c r="R414" t="s">
        <v>1037</v>
      </c>
      <c r="T414" s="57">
        <v>72365.31</v>
      </c>
      <c r="U414" s="57">
        <v>73599.53</v>
      </c>
      <c r="V414" s="57">
        <v>65896.460000000006</v>
      </c>
    </row>
    <row r="415" spans="1:22" ht="15.75" customHeight="1" x14ac:dyDescent="0.3">
      <c r="A415" s="57" t="s">
        <v>571</v>
      </c>
      <c r="B415" s="57" t="s">
        <v>604</v>
      </c>
      <c r="C415" s="58" t="s">
        <v>1277</v>
      </c>
      <c r="D415" s="58" t="s">
        <v>1072</v>
      </c>
      <c r="E415" s="59" t="s">
        <v>1282</v>
      </c>
      <c r="F415" s="55" t="s">
        <v>571</v>
      </c>
      <c r="G415" s="55" t="s">
        <v>604</v>
      </c>
      <c r="H415" t="s">
        <v>638</v>
      </c>
      <c r="I415" t="s">
        <v>638</v>
      </c>
      <c r="J415">
        <v>0</v>
      </c>
      <c r="K415" s="60">
        <v>44004000027</v>
      </c>
      <c r="L415" s="60" t="s">
        <v>660</v>
      </c>
      <c r="M415" s="57">
        <v>7300</v>
      </c>
      <c r="N415" s="57">
        <v>2600</v>
      </c>
      <c r="O415" s="57">
        <v>0</v>
      </c>
      <c r="Q415">
        <v>550</v>
      </c>
      <c r="R415" t="s">
        <v>1037</v>
      </c>
      <c r="T415" s="57">
        <v>7300</v>
      </c>
      <c r="U415" s="57">
        <v>2600</v>
      </c>
      <c r="V415" s="57">
        <v>0</v>
      </c>
    </row>
    <row r="416" spans="1:22" ht="15.75" customHeight="1" x14ac:dyDescent="0.3">
      <c r="A416" s="57" t="s">
        <v>571</v>
      </c>
      <c r="B416" s="57" t="s">
        <v>604</v>
      </c>
      <c r="C416" s="58" t="s">
        <v>1277</v>
      </c>
      <c r="D416" s="58" t="s">
        <v>1283</v>
      </c>
      <c r="E416" s="59"/>
      <c r="F416" s="55" t="s">
        <v>571</v>
      </c>
      <c r="G416" s="55" t="s">
        <v>604</v>
      </c>
      <c r="H416" t="s">
        <v>638</v>
      </c>
      <c r="I416" t="s">
        <v>638</v>
      </c>
      <c r="J416">
        <v>0</v>
      </c>
      <c r="K416" s="60">
        <v>44004000029</v>
      </c>
      <c r="L416" s="60" t="s">
        <v>661</v>
      </c>
      <c r="M416" s="57">
        <v>18475</v>
      </c>
      <c r="N416" s="57">
        <v>34883.31</v>
      </c>
      <c r="O416" s="57">
        <v>100</v>
      </c>
      <c r="Q416">
        <v>550</v>
      </c>
      <c r="R416" t="s">
        <v>1038</v>
      </c>
      <c r="T416" s="57">
        <v>18475</v>
      </c>
      <c r="U416" s="57">
        <v>34883.31</v>
      </c>
      <c r="V416" s="57">
        <v>100</v>
      </c>
    </row>
    <row r="417" spans="1:22" ht="15.75" customHeight="1" x14ac:dyDescent="0.3">
      <c r="A417" s="57" t="s">
        <v>571</v>
      </c>
      <c r="B417" s="57" t="s">
        <v>604</v>
      </c>
      <c r="C417" s="58" t="s">
        <v>1277</v>
      </c>
      <c r="D417" s="58" t="s">
        <v>1072</v>
      </c>
      <c r="E417" s="59" t="s">
        <v>1282</v>
      </c>
      <c r="F417" s="55" t="s">
        <v>571</v>
      </c>
      <c r="G417" s="55" t="s">
        <v>604</v>
      </c>
      <c r="H417" t="s">
        <v>638</v>
      </c>
      <c r="I417" t="s">
        <v>638</v>
      </c>
      <c r="J417">
        <v>0</v>
      </c>
      <c r="K417" s="60">
        <v>44004000032</v>
      </c>
      <c r="L417" s="60" t="s">
        <v>662</v>
      </c>
      <c r="M417" s="57">
        <v>56350.21</v>
      </c>
      <c r="N417" s="57">
        <v>53467.35</v>
      </c>
      <c r="O417" s="57">
        <v>60756.85</v>
      </c>
      <c r="Q417">
        <v>550</v>
      </c>
      <c r="R417" t="s">
        <v>1037</v>
      </c>
      <c r="T417" s="57">
        <v>56350.21</v>
      </c>
      <c r="U417" s="57">
        <v>53467.35</v>
      </c>
      <c r="V417" s="57">
        <v>60756.85</v>
      </c>
    </row>
    <row r="418" spans="1:22" ht="15.75" customHeight="1" x14ac:dyDescent="0.3">
      <c r="A418" s="57" t="s">
        <v>571</v>
      </c>
      <c r="B418" s="57" t="s">
        <v>604</v>
      </c>
      <c r="C418" s="58" t="s">
        <v>1277</v>
      </c>
      <c r="D418" s="58" t="s">
        <v>1072</v>
      </c>
      <c r="E418" s="59" t="s">
        <v>1282</v>
      </c>
      <c r="F418" s="55" t="s">
        <v>571</v>
      </c>
      <c r="G418" s="55" t="s">
        <v>604</v>
      </c>
      <c r="H418" t="s">
        <v>638</v>
      </c>
      <c r="I418" t="s">
        <v>638</v>
      </c>
      <c r="J418">
        <v>0</v>
      </c>
      <c r="K418" s="60">
        <v>44004000034</v>
      </c>
      <c r="L418" s="60" t="s">
        <v>663</v>
      </c>
      <c r="M418" s="57">
        <v>1481.29</v>
      </c>
      <c r="N418" s="57">
        <v>76.39</v>
      </c>
      <c r="O418" s="57">
        <v>7052.03</v>
      </c>
      <c r="Q418">
        <v>550</v>
      </c>
      <c r="R418" t="s">
        <v>1038</v>
      </c>
      <c r="T418" s="57">
        <v>1481.29</v>
      </c>
      <c r="U418" s="57">
        <v>76.39</v>
      </c>
      <c r="V418" s="57">
        <v>5134.7</v>
      </c>
    </row>
    <row r="419" spans="1:22" ht="15.75" customHeight="1" x14ac:dyDescent="0.3">
      <c r="A419" s="57" t="s">
        <v>571</v>
      </c>
      <c r="B419" s="57" t="s">
        <v>604</v>
      </c>
      <c r="C419" s="58" t="s">
        <v>1277</v>
      </c>
      <c r="D419" s="58" t="s">
        <v>1072</v>
      </c>
      <c r="E419" s="59" t="s">
        <v>1282</v>
      </c>
      <c r="F419" s="55" t="s">
        <v>571</v>
      </c>
      <c r="G419" s="55" t="s">
        <v>604</v>
      </c>
      <c r="H419" t="s">
        <v>638</v>
      </c>
      <c r="I419" t="s">
        <v>638</v>
      </c>
      <c r="J419">
        <v>0</v>
      </c>
      <c r="K419" s="60">
        <v>44004000036</v>
      </c>
      <c r="L419" s="60" t="s">
        <v>664</v>
      </c>
      <c r="M419" s="57">
        <v>7596.14</v>
      </c>
      <c r="N419" s="57">
        <v>7996.89</v>
      </c>
      <c r="O419" s="57">
        <v>8547.68</v>
      </c>
      <c r="Q419">
        <v>550</v>
      </c>
      <c r="R419" t="s">
        <v>1037</v>
      </c>
      <c r="T419" s="57">
        <v>7596.14</v>
      </c>
      <c r="U419" s="57">
        <v>7996.89</v>
      </c>
      <c r="V419" s="57">
        <v>8547.68</v>
      </c>
    </row>
    <row r="420" spans="1:22" ht="15.75" customHeight="1" x14ac:dyDescent="0.3">
      <c r="A420" s="57" t="s">
        <v>571</v>
      </c>
      <c r="B420" s="57" t="s">
        <v>604</v>
      </c>
      <c r="C420" s="58" t="s">
        <v>1277</v>
      </c>
      <c r="D420" s="58" t="s">
        <v>1072</v>
      </c>
      <c r="E420" s="59" t="s">
        <v>1282</v>
      </c>
      <c r="F420" s="55" t="s">
        <v>571</v>
      </c>
      <c r="G420" s="55" t="s">
        <v>604</v>
      </c>
      <c r="H420" t="s">
        <v>638</v>
      </c>
      <c r="I420" t="s">
        <v>638</v>
      </c>
      <c r="J420">
        <v>0</v>
      </c>
      <c r="K420" s="60">
        <v>44004000038</v>
      </c>
      <c r="L420" s="60" t="s">
        <v>665</v>
      </c>
      <c r="M420" s="57">
        <v>0</v>
      </c>
      <c r="N420" s="57">
        <v>2441.5700000000002</v>
      </c>
      <c r="O420" s="57">
        <v>16.39</v>
      </c>
      <c r="Q420">
        <v>550</v>
      </c>
      <c r="R420" t="s">
        <v>1037</v>
      </c>
      <c r="T420" s="57">
        <v>0</v>
      </c>
      <c r="U420" s="57">
        <v>2441.5700000000002</v>
      </c>
      <c r="V420" s="57">
        <v>16.39</v>
      </c>
    </row>
    <row r="421" spans="1:22" ht="15.75" customHeight="1" x14ac:dyDescent="0.3">
      <c r="A421" s="57" t="s">
        <v>571</v>
      </c>
      <c r="B421" s="57" t="s">
        <v>604</v>
      </c>
      <c r="C421" s="58" t="s">
        <v>1277</v>
      </c>
      <c r="D421" s="58" t="s">
        <v>1072</v>
      </c>
      <c r="E421" s="59" t="s">
        <v>1282</v>
      </c>
      <c r="F421" s="55" t="s">
        <v>571</v>
      </c>
      <c r="G421" s="55" t="s">
        <v>604</v>
      </c>
      <c r="H421" t="s">
        <v>638</v>
      </c>
      <c r="I421" t="s">
        <v>638</v>
      </c>
      <c r="J421">
        <v>0</v>
      </c>
      <c r="K421" s="60">
        <v>44004000039</v>
      </c>
      <c r="L421" s="60" t="s">
        <v>666</v>
      </c>
      <c r="M421" s="57">
        <v>0</v>
      </c>
      <c r="N421" s="57">
        <v>813</v>
      </c>
      <c r="O421" s="57">
        <v>1501</v>
      </c>
      <c r="Q421">
        <v>550</v>
      </c>
      <c r="R421" t="s">
        <v>1037</v>
      </c>
      <c r="T421" s="57">
        <v>0</v>
      </c>
      <c r="U421" s="57">
        <v>813</v>
      </c>
      <c r="V421" s="57">
        <v>1501</v>
      </c>
    </row>
    <row r="422" spans="1:22" ht="15.75" customHeight="1" x14ac:dyDescent="0.3">
      <c r="A422" s="57" t="s">
        <v>571</v>
      </c>
      <c r="B422" s="57" t="s">
        <v>604</v>
      </c>
      <c r="C422" s="58" t="s">
        <v>1277</v>
      </c>
      <c r="D422" s="58" t="s">
        <v>1072</v>
      </c>
      <c r="E422" s="59" t="s">
        <v>1282</v>
      </c>
      <c r="F422" s="55" t="s">
        <v>571</v>
      </c>
      <c r="G422" s="55" t="s">
        <v>604</v>
      </c>
      <c r="H422" t="s">
        <v>638</v>
      </c>
      <c r="I422" t="s">
        <v>638</v>
      </c>
      <c r="J422">
        <v>0</v>
      </c>
      <c r="K422" s="60">
        <v>44004000041</v>
      </c>
      <c r="L422" s="60" t="s">
        <v>667</v>
      </c>
      <c r="M422" s="57">
        <v>0</v>
      </c>
      <c r="N422" s="57">
        <v>139552.20000000001</v>
      </c>
      <c r="O422" s="57">
        <v>45082.149999999994</v>
      </c>
      <c r="Q422">
        <v>550</v>
      </c>
      <c r="R422" t="s">
        <v>1038</v>
      </c>
      <c r="T422" s="57">
        <v>0</v>
      </c>
      <c r="U422" s="57">
        <v>625.17999999999995</v>
      </c>
      <c r="V422" s="57">
        <v>674</v>
      </c>
    </row>
    <row r="423" spans="1:22" ht="15.75" customHeight="1" x14ac:dyDescent="0.3">
      <c r="A423" s="57" t="s">
        <v>571</v>
      </c>
      <c r="B423" s="57" t="s">
        <v>604</v>
      </c>
      <c r="C423" s="58" t="s">
        <v>1277</v>
      </c>
      <c r="D423" s="58" t="s">
        <v>1072</v>
      </c>
      <c r="E423" s="59" t="s">
        <v>1282</v>
      </c>
      <c r="F423" s="55" t="s">
        <v>571</v>
      </c>
      <c r="G423" s="55" t="s">
        <v>604</v>
      </c>
      <c r="H423" t="s">
        <v>638</v>
      </c>
      <c r="I423" t="s">
        <v>638</v>
      </c>
      <c r="J423">
        <v>0</v>
      </c>
      <c r="K423" s="60">
        <v>44004000059</v>
      </c>
      <c r="L423" s="60" t="s">
        <v>668</v>
      </c>
      <c r="M423" s="57">
        <v>0</v>
      </c>
      <c r="N423" s="57">
        <v>0</v>
      </c>
      <c r="O423" s="57">
        <v>5371.65</v>
      </c>
      <c r="Q423">
        <v>550</v>
      </c>
      <c r="R423" t="s">
        <v>1037</v>
      </c>
      <c r="T423" s="57">
        <v>0</v>
      </c>
      <c r="U423" s="57">
        <v>0</v>
      </c>
      <c r="V423" s="57">
        <v>5371.65</v>
      </c>
    </row>
    <row r="424" spans="1:22" ht="15.75" customHeight="1" x14ac:dyDescent="0.3">
      <c r="A424" s="57" t="s">
        <v>571</v>
      </c>
      <c r="B424" s="57" t="s">
        <v>604</v>
      </c>
      <c r="C424" s="58" t="s">
        <v>1277</v>
      </c>
      <c r="D424" s="58" t="s">
        <v>1072</v>
      </c>
      <c r="E424" s="59" t="s">
        <v>1282</v>
      </c>
      <c r="F424" s="55" t="s">
        <v>571</v>
      </c>
      <c r="G424" s="55" t="s">
        <v>604</v>
      </c>
      <c r="H424" t="s">
        <v>638</v>
      </c>
      <c r="I424" t="s">
        <v>638</v>
      </c>
      <c r="J424">
        <v>0</v>
      </c>
      <c r="K424" s="60">
        <v>44005000001</v>
      </c>
      <c r="L424" s="60" t="s">
        <v>669</v>
      </c>
      <c r="M424" s="57">
        <v>896197.29</v>
      </c>
      <c r="N424" s="57">
        <v>961348.23</v>
      </c>
      <c r="O424" s="57">
        <v>989995.74</v>
      </c>
      <c r="Q424">
        <v>550</v>
      </c>
      <c r="R424" t="s">
        <v>1037</v>
      </c>
      <c r="T424" s="57">
        <v>896197.29</v>
      </c>
      <c r="U424" s="57">
        <v>961348.23</v>
      </c>
      <c r="V424" s="57">
        <v>989995.74</v>
      </c>
    </row>
    <row r="425" spans="1:22" ht="15.75" customHeight="1" x14ac:dyDescent="0.3">
      <c r="A425" s="57" t="s">
        <v>571</v>
      </c>
      <c r="B425" s="57" t="s">
        <v>604</v>
      </c>
      <c r="C425" s="58" t="s">
        <v>1277</v>
      </c>
      <c r="D425" s="58" t="s">
        <v>1072</v>
      </c>
      <c r="E425" s="59" t="s">
        <v>1282</v>
      </c>
      <c r="F425" s="55" t="s">
        <v>571</v>
      </c>
      <c r="G425" s="55" t="s">
        <v>604</v>
      </c>
      <c r="H425" t="s">
        <v>638</v>
      </c>
      <c r="I425" t="s">
        <v>638</v>
      </c>
      <c r="J425">
        <v>0</v>
      </c>
      <c r="K425" s="60">
        <v>44005000002</v>
      </c>
      <c r="L425" s="60" t="s">
        <v>670</v>
      </c>
      <c r="M425" s="57">
        <v>4973.87</v>
      </c>
      <c r="N425" s="57">
        <v>3995.8</v>
      </c>
      <c r="O425" s="57">
        <v>4761.97</v>
      </c>
      <c r="Q425">
        <v>550</v>
      </c>
      <c r="R425" t="s">
        <v>1037</v>
      </c>
      <c r="T425" s="57">
        <v>4973.87</v>
      </c>
      <c r="U425" s="57">
        <v>3995.8</v>
      </c>
      <c r="V425" s="57">
        <v>4761.97</v>
      </c>
    </row>
    <row r="426" spans="1:22" ht="15.75" customHeight="1" x14ac:dyDescent="0.3">
      <c r="A426" s="57" t="s">
        <v>571</v>
      </c>
      <c r="B426" s="57" t="s">
        <v>604</v>
      </c>
      <c r="C426" s="58" t="s">
        <v>1277</v>
      </c>
      <c r="D426" s="58" t="s">
        <v>1072</v>
      </c>
      <c r="E426" s="59" t="s">
        <v>1282</v>
      </c>
      <c r="F426" s="55" t="s">
        <v>571</v>
      </c>
      <c r="G426" s="55" t="s">
        <v>604</v>
      </c>
      <c r="H426" t="s">
        <v>638</v>
      </c>
      <c r="I426" t="s">
        <v>638</v>
      </c>
      <c r="J426">
        <v>0</v>
      </c>
      <c r="K426" s="60">
        <v>44005000003</v>
      </c>
      <c r="L426" s="60" t="s">
        <v>671</v>
      </c>
      <c r="M426" s="57">
        <v>1220544.19</v>
      </c>
      <c r="N426" s="57">
        <v>1239669</v>
      </c>
      <c r="O426" s="57">
        <v>1293585.9199999999</v>
      </c>
      <c r="Q426">
        <v>550</v>
      </c>
      <c r="R426" t="s">
        <v>1037</v>
      </c>
      <c r="T426" s="57">
        <v>1220544.19</v>
      </c>
      <c r="U426" s="57">
        <v>1239669</v>
      </c>
      <c r="V426" s="57">
        <v>1293585.9199999999</v>
      </c>
    </row>
    <row r="427" spans="1:22" ht="15.75" customHeight="1" x14ac:dyDescent="0.3">
      <c r="A427" s="57" t="s">
        <v>571</v>
      </c>
      <c r="B427" s="57" t="s">
        <v>604</v>
      </c>
      <c r="C427" s="58" t="s">
        <v>1277</v>
      </c>
      <c r="D427" s="58" t="s">
        <v>1072</v>
      </c>
      <c r="E427" s="59" t="s">
        <v>1282</v>
      </c>
      <c r="F427" s="55" t="s">
        <v>571</v>
      </c>
      <c r="G427" s="55" t="s">
        <v>604</v>
      </c>
      <c r="H427" t="s">
        <v>638</v>
      </c>
      <c r="I427" t="s">
        <v>638</v>
      </c>
      <c r="J427">
        <v>0</v>
      </c>
      <c r="K427" s="60">
        <v>44005000004</v>
      </c>
      <c r="L427" s="60" t="s">
        <v>672</v>
      </c>
      <c r="M427" s="57">
        <v>60054.14</v>
      </c>
      <c r="N427" s="57">
        <v>61177.59</v>
      </c>
      <c r="O427" s="57">
        <v>69081.34</v>
      </c>
      <c r="Q427">
        <v>550</v>
      </c>
      <c r="R427" t="s">
        <v>1037</v>
      </c>
      <c r="T427" s="57">
        <v>60054.14</v>
      </c>
      <c r="U427" s="57">
        <v>61177.59</v>
      </c>
      <c r="V427" s="57">
        <v>69081.34</v>
      </c>
    </row>
    <row r="428" spans="1:22" ht="15.75" customHeight="1" x14ac:dyDescent="0.3">
      <c r="A428" s="57" t="s">
        <v>571</v>
      </c>
      <c r="B428" s="57" t="s">
        <v>604</v>
      </c>
      <c r="C428" s="58" t="s">
        <v>1277</v>
      </c>
      <c r="D428" s="58" t="s">
        <v>1072</v>
      </c>
      <c r="E428" s="59" t="s">
        <v>1282</v>
      </c>
      <c r="F428" s="55" t="s">
        <v>571</v>
      </c>
      <c r="G428" s="55" t="s">
        <v>604</v>
      </c>
      <c r="H428" t="s">
        <v>638</v>
      </c>
      <c r="I428" t="s">
        <v>638</v>
      </c>
      <c r="J428">
        <v>0</v>
      </c>
      <c r="K428" s="60">
        <v>44005000005</v>
      </c>
      <c r="L428" s="60" t="s">
        <v>673</v>
      </c>
      <c r="M428" s="57">
        <v>22292.400000000001</v>
      </c>
      <c r="N428" s="57">
        <v>24509.98</v>
      </c>
      <c r="O428" s="57">
        <v>25991.43</v>
      </c>
      <c r="Q428">
        <v>550</v>
      </c>
      <c r="R428" t="s">
        <v>1037</v>
      </c>
      <c r="T428" s="57">
        <v>22292.400000000001</v>
      </c>
      <c r="U428" s="57">
        <v>24509.98</v>
      </c>
      <c r="V428" s="57">
        <v>25991.43</v>
      </c>
    </row>
    <row r="429" spans="1:22" ht="15.75" customHeight="1" x14ac:dyDescent="0.3">
      <c r="A429" s="57" t="s">
        <v>571</v>
      </c>
      <c r="B429" s="57" t="s">
        <v>604</v>
      </c>
      <c r="C429" s="58" t="s">
        <v>1277</v>
      </c>
      <c r="D429" s="58" t="s">
        <v>1072</v>
      </c>
      <c r="E429" s="59" t="s">
        <v>1282</v>
      </c>
      <c r="F429" s="55" t="s">
        <v>571</v>
      </c>
      <c r="G429" s="55" t="s">
        <v>604</v>
      </c>
      <c r="H429" t="s">
        <v>638</v>
      </c>
      <c r="I429" t="s">
        <v>638</v>
      </c>
      <c r="J429">
        <v>0</v>
      </c>
      <c r="K429" s="60">
        <v>44005000006</v>
      </c>
      <c r="L429" s="60" t="s">
        <v>674</v>
      </c>
      <c r="M429" s="57">
        <v>34561.29</v>
      </c>
      <c r="N429" s="57">
        <v>36937.83</v>
      </c>
      <c r="O429" s="57">
        <v>38595.089999999997</v>
      </c>
      <c r="Q429">
        <v>550</v>
      </c>
      <c r="R429" t="s">
        <v>1037</v>
      </c>
      <c r="T429" s="57">
        <v>34561.29</v>
      </c>
      <c r="U429" s="57">
        <v>36937.83</v>
      </c>
      <c r="V429" s="57">
        <v>38595.089999999997</v>
      </c>
    </row>
    <row r="430" spans="1:22" ht="15.75" customHeight="1" x14ac:dyDescent="0.3">
      <c r="A430" s="57" t="s">
        <v>571</v>
      </c>
      <c r="B430" s="57" t="s">
        <v>604</v>
      </c>
      <c r="C430" s="58" t="s">
        <v>1277</v>
      </c>
      <c r="D430" s="58" t="s">
        <v>1072</v>
      </c>
      <c r="E430" s="59" t="s">
        <v>1282</v>
      </c>
      <c r="F430" s="55" t="s">
        <v>571</v>
      </c>
      <c r="G430" s="55" t="s">
        <v>604</v>
      </c>
      <c r="H430" t="s">
        <v>638</v>
      </c>
      <c r="I430" t="s">
        <v>638</v>
      </c>
      <c r="J430">
        <v>0</v>
      </c>
      <c r="K430" s="60">
        <v>44005000007</v>
      </c>
      <c r="L430" s="60" t="s">
        <v>675</v>
      </c>
      <c r="M430" s="57">
        <v>5614.15</v>
      </c>
      <c r="N430" s="57">
        <v>4691.38</v>
      </c>
      <c r="O430" s="57">
        <v>6062.99</v>
      </c>
      <c r="Q430">
        <v>550</v>
      </c>
      <c r="R430" t="s">
        <v>1037</v>
      </c>
      <c r="T430" s="57">
        <v>5614.15</v>
      </c>
      <c r="U430" s="57">
        <v>4691.38</v>
      </c>
      <c r="V430" s="57">
        <v>5494.02</v>
      </c>
    </row>
    <row r="431" spans="1:22" ht="15.75" customHeight="1" x14ac:dyDescent="0.3">
      <c r="A431" s="57" t="s">
        <v>571</v>
      </c>
      <c r="B431" s="57" t="s">
        <v>604</v>
      </c>
      <c r="C431" s="58" t="s">
        <v>1277</v>
      </c>
      <c r="D431" s="58" t="s">
        <v>1072</v>
      </c>
      <c r="E431" s="59" t="s">
        <v>1282</v>
      </c>
      <c r="F431" s="55" t="s">
        <v>571</v>
      </c>
      <c r="G431" s="55" t="s">
        <v>604</v>
      </c>
      <c r="H431" t="s">
        <v>638</v>
      </c>
      <c r="I431" t="s">
        <v>638</v>
      </c>
      <c r="J431">
        <v>0</v>
      </c>
      <c r="K431" s="60">
        <v>44005000008</v>
      </c>
      <c r="L431" s="60" t="s">
        <v>676</v>
      </c>
      <c r="M431" s="57">
        <v>545.34</v>
      </c>
      <c r="N431" s="57">
        <v>2871.83</v>
      </c>
      <c r="O431" s="57">
        <v>5543.22</v>
      </c>
      <c r="Q431">
        <v>550</v>
      </c>
      <c r="R431" t="s">
        <v>1037</v>
      </c>
      <c r="T431" s="57">
        <v>545.34</v>
      </c>
      <c r="U431" s="57">
        <v>2871.83</v>
      </c>
      <c r="V431" s="57">
        <v>5543.22</v>
      </c>
    </row>
    <row r="432" spans="1:22" ht="15.75" customHeight="1" x14ac:dyDescent="0.3">
      <c r="A432" s="57" t="s">
        <v>571</v>
      </c>
      <c r="B432" s="57" t="s">
        <v>604</v>
      </c>
      <c r="C432" s="58" t="s">
        <v>1277</v>
      </c>
      <c r="D432" s="58" t="s">
        <v>1072</v>
      </c>
      <c r="E432" s="59" t="s">
        <v>1282</v>
      </c>
      <c r="F432" s="55" t="s">
        <v>571</v>
      </c>
      <c r="G432" s="55" t="s">
        <v>604</v>
      </c>
      <c r="H432" t="s">
        <v>638</v>
      </c>
      <c r="I432" t="s">
        <v>638</v>
      </c>
      <c r="J432">
        <v>0</v>
      </c>
      <c r="K432" s="60">
        <v>44005000009</v>
      </c>
      <c r="L432" s="60" t="s">
        <v>677</v>
      </c>
      <c r="M432" s="57">
        <v>6257.21</v>
      </c>
      <c r="N432" s="57">
        <v>3796.48</v>
      </c>
      <c r="O432" s="57">
        <v>0</v>
      </c>
      <c r="Q432">
        <v>550</v>
      </c>
      <c r="R432" t="s">
        <v>1037</v>
      </c>
      <c r="T432" s="57">
        <v>6257.21</v>
      </c>
      <c r="U432" s="57">
        <v>3796.48</v>
      </c>
      <c r="V432" s="57">
        <v>0</v>
      </c>
    </row>
    <row r="433" spans="1:22" ht="15.75" customHeight="1" x14ac:dyDescent="0.3">
      <c r="A433" s="57" t="s">
        <v>571</v>
      </c>
      <c r="B433" s="57" t="s">
        <v>604</v>
      </c>
      <c r="C433" s="58" t="s">
        <v>1277</v>
      </c>
      <c r="D433" s="58" t="s">
        <v>1072</v>
      </c>
      <c r="E433" s="59" t="s">
        <v>1282</v>
      </c>
      <c r="F433" s="55" t="s">
        <v>571</v>
      </c>
      <c r="G433" s="55" t="s">
        <v>604</v>
      </c>
      <c r="H433" t="s">
        <v>638</v>
      </c>
      <c r="I433" t="s">
        <v>638</v>
      </c>
      <c r="J433">
        <v>0</v>
      </c>
      <c r="K433" s="60">
        <v>44005000011</v>
      </c>
      <c r="L433" s="60" t="s">
        <v>678</v>
      </c>
      <c r="M433" s="57">
        <v>56555.68</v>
      </c>
      <c r="N433" s="57">
        <v>62955.040000000001</v>
      </c>
      <c r="O433" s="57">
        <v>50691.06</v>
      </c>
      <c r="Q433">
        <v>550</v>
      </c>
      <c r="R433" t="s">
        <v>1037</v>
      </c>
      <c r="T433" s="57">
        <v>56555.68</v>
      </c>
      <c r="U433" s="57">
        <v>62955.040000000001</v>
      </c>
      <c r="V433" s="57">
        <v>50691.06</v>
      </c>
    </row>
    <row r="434" spans="1:22" ht="15.75" customHeight="1" x14ac:dyDescent="0.3">
      <c r="A434" s="57" t="s">
        <v>571</v>
      </c>
      <c r="B434" s="57" t="s">
        <v>604</v>
      </c>
      <c r="C434" s="58" t="s">
        <v>1277</v>
      </c>
      <c r="D434" s="58" t="s">
        <v>1072</v>
      </c>
      <c r="E434" s="59" t="s">
        <v>1282</v>
      </c>
      <c r="F434" s="55" t="s">
        <v>571</v>
      </c>
      <c r="G434" s="55" t="s">
        <v>604</v>
      </c>
      <c r="H434" t="s">
        <v>638</v>
      </c>
      <c r="I434" t="s">
        <v>638</v>
      </c>
      <c r="J434">
        <v>0</v>
      </c>
      <c r="K434" s="60">
        <v>44005000012</v>
      </c>
      <c r="L434" s="60" t="s">
        <v>679</v>
      </c>
      <c r="M434" s="57">
        <v>81923.210000000006</v>
      </c>
      <c r="N434" s="57">
        <v>72199.399999999994</v>
      </c>
      <c r="O434" s="57">
        <v>54268.2</v>
      </c>
      <c r="Q434">
        <v>550</v>
      </c>
      <c r="R434" t="s">
        <v>1037</v>
      </c>
      <c r="T434" s="57">
        <v>81923.210000000006</v>
      </c>
      <c r="U434" s="57">
        <v>72199.399999999994</v>
      </c>
      <c r="V434" s="57">
        <v>54268.2</v>
      </c>
    </row>
    <row r="435" spans="1:22" ht="15.75" customHeight="1" x14ac:dyDescent="0.3">
      <c r="A435" s="57" t="s">
        <v>571</v>
      </c>
      <c r="B435" s="57" t="s">
        <v>604</v>
      </c>
      <c r="C435" s="58" t="s">
        <v>1277</v>
      </c>
      <c r="D435" s="58" t="s">
        <v>1072</v>
      </c>
      <c r="E435" s="59" t="s">
        <v>1282</v>
      </c>
      <c r="F435" s="55" t="s">
        <v>571</v>
      </c>
      <c r="G435" s="55" t="s">
        <v>604</v>
      </c>
      <c r="H435" t="s">
        <v>638</v>
      </c>
      <c r="I435" t="s">
        <v>638</v>
      </c>
      <c r="J435">
        <v>0</v>
      </c>
      <c r="K435" s="60">
        <v>44005000013</v>
      </c>
      <c r="L435" s="60" t="s">
        <v>680</v>
      </c>
      <c r="M435" s="57">
        <v>58838.17</v>
      </c>
      <c r="N435" s="57">
        <v>76421.37</v>
      </c>
      <c r="O435" s="57">
        <v>64869.760000000002</v>
      </c>
      <c r="Q435">
        <v>550</v>
      </c>
      <c r="R435" t="s">
        <v>1037</v>
      </c>
      <c r="T435" s="57">
        <v>58838.17</v>
      </c>
      <c r="U435" s="57">
        <v>76421.37</v>
      </c>
      <c r="V435" s="57">
        <v>64869.760000000002</v>
      </c>
    </row>
    <row r="436" spans="1:22" ht="15.75" customHeight="1" x14ac:dyDescent="0.3">
      <c r="A436" s="57" t="s">
        <v>571</v>
      </c>
      <c r="B436" s="57" t="s">
        <v>604</v>
      </c>
      <c r="C436" s="58" t="s">
        <v>1277</v>
      </c>
      <c r="D436" s="58" t="s">
        <v>1072</v>
      </c>
      <c r="E436" s="59" t="s">
        <v>1282</v>
      </c>
      <c r="F436" s="55" t="s">
        <v>571</v>
      </c>
      <c r="G436" s="55" t="s">
        <v>604</v>
      </c>
      <c r="H436" t="s">
        <v>638</v>
      </c>
      <c r="I436" t="s">
        <v>638</v>
      </c>
      <c r="J436">
        <v>0</v>
      </c>
      <c r="K436" s="60">
        <v>44005000014</v>
      </c>
      <c r="L436" s="60" t="s">
        <v>681</v>
      </c>
      <c r="M436" s="57">
        <v>20568.8</v>
      </c>
      <c r="N436" s="57">
        <v>617.64</v>
      </c>
      <c r="O436" s="57">
        <v>0</v>
      </c>
      <c r="Q436">
        <v>550</v>
      </c>
      <c r="R436" t="s">
        <v>1037</v>
      </c>
      <c r="T436" s="57">
        <v>20568.8</v>
      </c>
      <c r="U436" s="57">
        <v>617.64</v>
      </c>
      <c r="V436" s="57">
        <v>0</v>
      </c>
    </row>
    <row r="437" spans="1:22" ht="15.75" customHeight="1" x14ac:dyDescent="0.3">
      <c r="A437" s="57" t="s">
        <v>571</v>
      </c>
      <c r="B437" s="57" t="s">
        <v>604</v>
      </c>
      <c r="C437" s="58" t="s">
        <v>1277</v>
      </c>
      <c r="D437" s="58" t="s">
        <v>1072</v>
      </c>
      <c r="E437" s="59" t="s">
        <v>1282</v>
      </c>
      <c r="F437" s="55" t="s">
        <v>571</v>
      </c>
      <c r="G437" s="55" t="s">
        <v>604</v>
      </c>
      <c r="H437" t="s">
        <v>638</v>
      </c>
      <c r="I437" t="s">
        <v>638</v>
      </c>
      <c r="J437">
        <v>0</v>
      </c>
      <c r="K437" s="60">
        <v>44005000015</v>
      </c>
      <c r="L437" s="60" t="s">
        <v>682</v>
      </c>
      <c r="M437" s="57">
        <v>1080</v>
      </c>
      <c r="N437" s="57">
        <v>907.07</v>
      </c>
      <c r="O437" s="57">
        <v>492.93</v>
      </c>
      <c r="Q437">
        <v>550</v>
      </c>
      <c r="R437" t="s">
        <v>1037</v>
      </c>
      <c r="T437" s="57">
        <v>1080</v>
      </c>
      <c r="U437" s="57">
        <v>907.07</v>
      </c>
      <c r="V437" s="57">
        <v>492.93</v>
      </c>
    </row>
    <row r="438" spans="1:22" ht="15.75" customHeight="1" x14ac:dyDescent="0.3">
      <c r="A438" s="57" t="s">
        <v>571</v>
      </c>
      <c r="B438" s="57" t="s">
        <v>604</v>
      </c>
      <c r="C438" s="58" t="s">
        <v>1277</v>
      </c>
      <c r="D438" s="58" t="s">
        <v>1072</v>
      </c>
      <c r="E438" s="59" t="s">
        <v>1282</v>
      </c>
      <c r="F438" s="55" t="s">
        <v>571</v>
      </c>
      <c r="G438" s="55" t="s">
        <v>604</v>
      </c>
      <c r="H438" t="s">
        <v>638</v>
      </c>
      <c r="I438" t="s">
        <v>638</v>
      </c>
      <c r="J438">
        <v>0</v>
      </c>
      <c r="K438" s="60">
        <v>44005000016</v>
      </c>
      <c r="L438" s="60" t="s">
        <v>683</v>
      </c>
      <c r="M438" s="57">
        <v>2876.02</v>
      </c>
      <c r="N438" s="57">
        <v>15464.85</v>
      </c>
      <c r="O438" s="57">
        <v>2265.5700000000002</v>
      </c>
      <c r="Q438">
        <v>550</v>
      </c>
      <c r="R438" t="s">
        <v>1037</v>
      </c>
      <c r="T438" s="57">
        <v>2876.02</v>
      </c>
      <c r="U438" s="57">
        <v>15464.85</v>
      </c>
      <c r="V438" s="57">
        <v>2265.5700000000002</v>
      </c>
    </row>
    <row r="439" spans="1:22" ht="15.75" customHeight="1" x14ac:dyDescent="0.3">
      <c r="A439" s="57" t="s">
        <v>571</v>
      </c>
      <c r="B439" s="57" t="s">
        <v>604</v>
      </c>
      <c r="C439" s="58" t="s">
        <v>1277</v>
      </c>
      <c r="D439" s="58" t="s">
        <v>1072</v>
      </c>
      <c r="E439" s="59" t="s">
        <v>1282</v>
      </c>
      <c r="F439" s="55" t="s">
        <v>571</v>
      </c>
      <c r="G439" s="55" t="s">
        <v>604</v>
      </c>
      <c r="H439" t="s">
        <v>638</v>
      </c>
      <c r="I439" t="s">
        <v>638</v>
      </c>
      <c r="J439">
        <v>0</v>
      </c>
      <c r="K439" s="60">
        <v>44005000017</v>
      </c>
      <c r="L439" s="60" t="s">
        <v>684</v>
      </c>
      <c r="M439" s="57">
        <v>4957.3</v>
      </c>
      <c r="N439" s="57">
        <v>7677.97</v>
      </c>
      <c r="O439" s="57">
        <v>6967.81</v>
      </c>
      <c r="Q439">
        <v>550</v>
      </c>
      <c r="R439" t="s">
        <v>1037</v>
      </c>
      <c r="T439" s="57">
        <v>4957.3</v>
      </c>
      <c r="U439" s="57">
        <v>7677.97</v>
      </c>
      <c r="V439" s="57">
        <v>6967.81</v>
      </c>
    </row>
    <row r="440" spans="1:22" ht="15.75" customHeight="1" x14ac:dyDescent="0.3">
      <c r="A440" s="57" t="s">
        <v>571</v>
      </c>
      <c r="B440" s="57" t="s">
        <v>604</v>
      </c>
      <c r="C440" s="58" t="s">
        <v>1277</v>
      </c>
      <c r="D440" s="58" t="s">
        <v>1072</v>
      </c>
      <c r="E440" s="59" t="s">
        <v>1282</v>
      </c>
      <c r="F440" s="55" t="s">
        <v>571</v>
      </c>
      <c r="G440" s="55" t="s">
        <v>604</v>
      </c>
      <c r="H440" t="s">
        <v>638</v>
      </c>
      <c r="I440" t="s">
        <v>638</v>
      </c>
      <c r="J440">
        <v>0</v>
      </c>
      <c r="K440" s="60">
        <v>44005000021</v>
      </c>
      <c r="L440" s="60" t="s">
        <v>685</v>
      </c>
      <c r="M440" s="57">
        <v>0</v>
      </c>
      <c r="N440" s="57">
        <v>0</v>
      </c>
      <c r="O440" s="57">
        <v>43.2</v>
      </c>
      <c r="Q440">
        <v>550</v>
      </c>
      <c r="R440" t="s">
        <v>1037</v>
      </c>
      <c r="T440" s="57">
        <v>0</v>
      </c>
      <c r="U440" s="57">
        <v>0</v>
      </c>
      <c r="V440" s="57">
        <v>43.2</v>
      </c>
    </row>
    <row r="441" spans="1:22" ht="15.75" customHeight="1" x14ac:dyDescent="0.3">
      <c r="A441" s="57" t="s">
        <v>571</v>
      </c>
      <c r="B441" s="57" t="s">
        <v>604</v>
      </c>
      <c r="C441" s="58" t="s">
        <v>1277</v>
      </c>
      <c r="D441" s="58" t="s">
        <v>1072</v>
      </c>
      <c r="E441" s="59" t="s">
        <v>1282</v>
      </c>
      <c r="F441" s="55" t="s">
        <v>571</v>
      </c>
      <c r="G441" s="55" t="s">
        <v>604</v>
      </c>
      <c r="H441" t="s">
        <v>638</v>
      </c>
      <c r="I441" t="s">
        <v>638</v>
      </c>
      <c r="J441">
        <v>0</v>
      </c>
      <c r="K441" s="60">
        <v>44006000005</v>
      </c>
      <c r="L441" s="60" t="s">
        <v>686</v>
      </c>
      <c r="M441" s="57">
        <v>0</v>
      </c>
      <c r="N441" s="57">
        <v>0</v>
      </c>
      <c r="O441" s="57">
        <v>2800</v>
      </c>
      <c r="Q441">
        <v>550</v>
      </c>
      <c r="R441" t="s">
        <v>1037</v>
      </c>
      <c r="T441" s="57">
        <v>0</v>
      </c>
      <c r="U441" s="57">
        <v>0</v>
      </c>
      <c r="V441" s="57">
        <v>2800</v>
      </c>
    </row>
    <row r="442" spans="1:22" ht="15.75" customHeight="1" x14ac:dyDescent="0.3">
      <c r="A442" s="57" t="s">
        <v>571</v>
      </c>
      <c r="B442" s="57" t="s">
        <v>604</v>
      </c>
      <c r="C442" s="58" t="s">
        <v>1277</v>
      </c>
      <c r="D442" s="58" t="s">
        <v>1072</v>
      </c>
      <c r="E442" s="59" t="s">
        <v>1282</v>
      </c>
      <c r="F442" s="55" t="s">
        <v>571</v>
      </c>
      <c r="G442" s="55" t="s">
        <v>604</v>
      </c>
      <c r="H442" t="s">
        <v>638</v>
      </c>
      <c r="I442" t="s">
        <v>638</v>
      </c>
      <c r="J442">
        <v>0</v>
      </c>
      <c r="K442" s="60">
        <v>44006000006</v>
      </c>
      <c r="L442" s="60" t="s">
        <v>687</v>
      </c>
      <c r="M442" s="57">
        <v>7300</v>
      </c>
      <c r="N442" s="57">
        <v>17036.21</v>
      </c>
      <c r="O442" s="57">
        <v>9103.2999999999993</v>
      </c>
      <c r="Q442">
        <v>550</v>
      </c>
      <c r="R442" t="s">
        <v>1037</v>
      </c>
      <c r="T442" s="57">
        <v>7300</v>
      </c>
      <c r="U442" s="57">
        <v>17036.21</v>
      </c>
      <c r="V442" s="57">
        <v>9103.2999999999993</v>
      </c>
    </row>
    <row r="443" spans="1:22" ht="15.75" customHeight="1" x14ac:dyDescent="0.3">
      <c r="A443" s="57" t="s">
        <v>571</v>
      </c>
      <c r="B443" s="57" t="s">
        <v>604</v>
      </c>
      <c r="C443" s="58" t="s">
        <v>1277</v>
      </c>
      <c r="D443" s="58" t="s">
        <v>1072</v>
      </c>
      <c r="E443" s="59" t="s">
        <v>1282</v>
      </c>
      <c r="F443" s="55" t="s">
        <v>571</v>
      </c>
      <c r="G443" s="55" t="s">
        <v>604</v>
      </c>
      <c r="H443" t="s">
        <v>638</v>
      </c>
      <c r="I443" t="s">
        <v>638</v>
      </c>
      <c r="J443">
        <v>0</v>
      </c>
      <c r="K443" s="60">
        <v>44006000008</v>
      </c>
      <c r="L443" s="60" t="s">
        <v>688</v>
      </c>
      <c r="M443" s="57">
        <v>0</v>
      </c>
      <c r="N443" s="57">
        <v>4060</v>
      </c>
      <c r="O443" s="57">
        <v>6206.49</v>
      </c>
      <c r="Q443">
        <v>550</v>
      </c>
      <c r="R443" t="s">
        <v>1037</v>
      </c>
      <c r="T443" s="57">
        <v>0</v>
      </c>
      <c r="U443" s="57">
        <v>4060</v>
      </c>
      <c r="V443" s="57">
        <v>6206.49</v>
      </c>
    </row>
    <row r="444" spans="1:22" ht="15.75" customHeight="1" x14ac:dyDescent="0.3">
      <c r="A444" s="57" t="s">
        <v>571</v>
      </c>
      <c r="B444" s="57" t="s">
        <v>604</v>
      </c>
      <c r="C444" s="58" t="s">
        <v>1277</v>
      </c>
      <c r="D444" s="58" t="s">
        <v>1072</v>
      </c>
      <c r="E444" s="59" t="s">
        <v>1282</v>
      </c>
      <c r="F444" s="55" t="s">
        <v>571</v>
      </c>
      <c r="G444" s="55" t="s">
        <v>604</v>
      </c>
      <c r="H444" t="s">
        <v>638</v>
      </c>
      <c r="I444" t="s">
        <v>638</v>
      </c>
      <c r="J444">
        <v>0</v>
      </c>
      <c r="K444" s="60">
        <v>44006000009</v>
      </c>
      <c r="L444" s="60" t="s">
        <v>689</v>
      </c>
      <c r="M444" s="57">
        <v>0</v>
      </c>
      <c r="N444" s="57">
        <v>0</v>
      </c>
      <c r="O444" s="57">
        <v>221.7</v>
      </c>
      <c r="Q444">
        <v>550</v>
      </c>
      <c r="R444" t="s">
        <v>1037</v>
      </c>
      <c r="T444" s="57">
        <v>0</v>
      </c>
      <c r="U444" s="57">
        <v>0</v>
      </c>
      <c r="V444" s="57">
        <v>221.7</v>
      </c>
    </row>
    <row r="445" spans="1:22" ht="15.75" customHeight="1" x14ac:dyDescent="0.3">
      <c r="A445" s="57" t="s">
        <v>571</v>
      </c>
      <c r="B445" s="57" t="s">
        <v>604</v>
      </c>
      <c r="C445" s="58" t="s">
        <v>1277</v>
      </c>
      <c r="D445" s="58" t="s">
        <v>1072</v>
      </c>
      <c r="E445" s="59" t="s">
        <v>1282</v>
      </c>
      <c r="F445" s="55" t="s">
        <v>571</v>
      </c>
      <c r="G445" s="55" t="s">
        <v>604</v>
      </c>
      <c r="H445" t="s">
        <v>638</v>
      </c>
      <c r="I445" t="s">
        <v>638</v>
      </c>
      <c r="J445">
        <v>0</v>
      </c>
      <c r="K445" s="60">
        <v>44006000011</v>
      </c>
      <c r="L445" s="60" t="s">
        <v>690</v>
      </c>
      <c r="M445" s="57">
        <v>49231.48</v>
      </c>
      <c r="N445" s="57">
        <v>42324.83</v>
      </c>
      <c r="O445" s="57">
        <v>70283.100000000006</v>
      </c>
      <c r="Q445">
        <v>550</v>
      </c>
      <c r="R445" t="s">
        <v>1037</v>
      </c>
      <c r="T445" s="57">
        <v>49231.48</v>
      </c>
      <c r="U445" s="57">
        <v>42324.83</v>
      </c>
      <c r="V445" s="57">
        <v>70283.100000000006</v>
      </c>
    </row>
    <row r="446" spans="1:22" ht="15.75" customHeight="1" x14ac:dyDescent="0.3">
      <c r="A446" s="57" t="s">
        <v>571</v>
      </c>
      <c r="B446" s="57" t="s">
        <v>604</v>
      </c>
      <c r="C446" s="58" t="s">
        <v>1277</v>
      </c>
      <c r="D446" s="58" t="s">
        <v>1072</v>
      </c>
      <c r="E446" s="59" t="s">
        <v>1282</v>
      </c>
      <c r="F446" s="55" t="s">
        <v>571</v>
      </c>
      <c r="G446" s="55" t="s">
        <v>604</v>
      </c>
      <c r="H446" t="s">
        <v>638</v>
      </c>
      <c r="I446" t="s">
        <v>638</v>
      </c>
      <c r="J446">
        <v>0</v>
      </c>
      <c r="K446" s="60">
        <v>44006000012</v>
      </c>
      <c r="L446" s="60" t="s">
        <v>691</v>
      </c>
      <c r="M446" s="57">
        <v>255608.27</v>
      </c>
      <c r="N446" s="57">
        <v>250378.92</v>
      </c>
      <c r="O446" s="57">
        <v>252292.63</v>
      </c>
      <c r="Q446">
        <v>550</v>
      </c>
      <c r="R446" t="s">
        <v>1037</v>
      </c>
      <c r="T446" s="57">
        <v>255608.27</v>
      </c>
      <c r="U446" s="57">
        <v>250378.92</v>
      </c>
      <c r="V446" s="57">
        <v>252292.63</v>
      </c>
    </row>
    <row r="447" spans="1:22" ht="15.75" customHeight="1" x14ac:dyDescent="0.3">
      <c r="A447" s="57" t="s">
        <v>571</v>
      </c>
      <c r="B447" s="57" t="s">
        <v>604</v>
      </c>
      <c r="C447" s="58" t="s">
        <v>1277</v>
      </c>
      <c r="D447" s="58" t="s">
        <v>1072</v>
      </c>
      <c r="E447" s="59" t="s">
        <v>1282</v>
      </c>
      <c r="F447" s="55" t="s">
        <v>571</v>
      </c>
      <c r="G447" s="55" t="s">
        <v>604</v>
      </c>
      <c r="H447" t="s">
        <v>638</v>
      </c>
      <c r="I447" t="s">
        <v>638</v>
      </c>
      <c r="J447">
        <v>0</v>
      </c>
      <c r="K447" s="60">
        <v>44006000013</v>
      </c>
      <c r="L447" s="60" t="s">
        <v>692</v>
      </c>
      <c r="M447" s="57">
        <v>103401.8</v>
      </c>
      <c r="N447" s="57">
        <v>92441.9</v>
      </c>
      <c r="O447" s="57">
        <v>85975.73</v>
      </c>
      <c r="Q447">
        <v>550</v>
      </c>
      <c r="R447" t="s">
        <v>1037</v>
      </c>
      <c r="T447" s="57">
        <v>103401.8</v>
      </c>
      <c r="U447" s="57">
        <v>92441.9</v>
      </c>
      <c r="V447" s="57">
        <v>85975.73</v>
      </c>
    </row>
    <row r="448" spans="1:22" ht="15.75" customHeight="1" x14ac:dyDescent="0.3">
      <c r="A448" s="57" t="s">
        <v>571</v>
      </c>
      <c r="B448" s="57" t="s">
        <v>604</v>
      </c>
      <c r="C448" s="58" t="s">
        <v>1277</v>
      </c>
      <c r="D448" s="58" t="s">
        <v>1072</v>
      </c>
      <c r="E448" s="59" t="s">
        <v>1282</v>
      </c>
      <c r="F448" s="55" t="s">
        <v>571</v>
      </c>
      <c r="G448" s="55" t="s">
        <v>604</v>
      </c>
      <c r="H448" t="s">
        <v>638</v>
      </c>
      <c r="I448" t="s">
        <v>638</v>
      </c>
      <c r="J448">
        <v>0</v>
      </c>
      <c r="K448" s="60">
        <v>44006000014</v>
      </c>
      <c r="L448" s="60" t="s">
        <v>693</v>
      </c>
      <c r="M448" s="57">
        <v>4314.3</v>
      </c>
      <c r="N448" s="57">
        <v>773.3</v>
      </c>
      <c r="O448" s="57">
        <v>8652</v>
      </c>
      <c r="Q448">
        <v>550</v>
      </c>
      <c r="R448" t="s">
        <v>1037</v>
      </c>
      <c r="T448" s="57">
        <v>4314.3</v>
      </c>
      <c r="U448" s="57">
        <v>773.3</v>
      </c>
      <c r="V448" s="57">
        <v>8652</v>
      </c>
    </row>
    <row r="449" spans="1:22" ht="15.75" customHeight="1" x14ac:dyDescent="0.3">
      <c r="A449" s="57" t="s">
        <v>571</v>
      </c>
      <c r="B449" s="57" t="s">
        <v>604</v>
      </c>
      <c r="C449" s="58" t="s">
        <v>1277</v>
      </c>
      <c r="D449" s="58" t="s">
        <v>1072</v>
      </c>
      <c r="E449" s="59" t="s">
        <v>1282</v>
      </c>
      <c r="F449" s="55" t="s">
        <v>571</v>
      </c>
      <c r="G449" s="55" t="s">
        <v>604</v>
      </c>
      <c r="H449" t="s">
        <v>638</v>
      </c>
      <c r="I449" t="s">
        <v>638</v>
      </c>
      <c r="J449">
        <v>0</v>
      </c>
      <c r="K449" s="60">
        <v>44006000015</v>
      </c>
      <c r="L449" s="60" t="s">
        <v>694</v>
      </c>
      <c r="M449" s="57">
        <v>19388.54</v>
      </c>
      <c r="N449" s="57">
        <v>21704.44</v>
      </c>
      <c r="O449" s="57">
        <v>20673.97</v>
      </c>
      <c r="Q449">
        <v>550</v>
      </c>
      <c r="R449" t="s">
        <v>1037</v>
      </c>
      <c r="T449" s="57">
        <v>19388.54</v>
      </c>
      <c r="U449" s="57">
        <v>21704.44</v>
      </c>
      <c r="V449" s="57">
        <v>20673.97</v>
      </c>
    </row>
    <row r="450" spans="1:22" ht="15.75" customHeight="1" x14ac:dyDescent="0.3">
      <c r="A450" s="57" t="s">
        <v>571</v>
      </c>
      <c r="B450" s="57" t="s">
        <v>604</v>
      </c>
      <c r="C450" s="58" t="s">
        <v>1277</v>
      </c>
      <c r="D450" s="58" t="s">
        <v>1072</v>
      </c>
      <c r="E450" s="59" t="s">
        <v>1282</v>
      </c>
      <c r="F450" s="55" t="s">
        <v>571</v>
      </c>
      <c r="G450" s="55" t="s">
        <v>604</v>
      </c>
      <c r="H450" t="s">
        <v>638</v>
      </c>
      <c r="I450" t="s">
        <v>638</v>
      </c>
      <c r="J450">
        <v>0</v>
      </c>
      <c r="K450" s="60">
        <v>44006000017</v>
      </c>
      <c r="L450" s="60" t="s">
        <v>695</v>
      </c>
      <c r="M450" s="57">
        <v>100450.3</v>
      </c>
      <c r="N450" s="57">
        <v>203605.05</v>
      </c>
      <c r="O450" s="57">
        <v>251557.6</v>
      </c>
      <c r="Q450">
        <v>550</v>
      </c>
      <c r="R450" t="s">
        <v>1037</v>
      </c>
      <c r="T450" s="57">
        <v>100450.3</v>
      </c>
      <c r="U450" s="57">
        <v>203605.05</v>
      </c>
      <c r="V450" s="57">
        <v>231716.08</v>
      </c>
    </row>
    <row r="451" spans="1:22" ht="15.75" customHeight="1" x14ac:dyDescent="0.3">
      <c r="A451" s="57" t="s">
        <v>571</v>
      </c>
      <c r="B451" s="57" t="s">
        <v>604</v>
      </c>
      <c r="C451" s="58" t="s">
        <v>1277</v>
      </c>
      <c r="D451" s="58" t="s">
        <v>1072</v>
      </c>
      <c r="E451" s="59" t="s">
        <v>1282</v>
      </c>
      <c r="F451" s="55" t="s">
        <v>571</v>
      </c>
      <c r="G451" s="55" t="s">
        <v>604</v>
      </c>
      <c r="H451" t="s">
        <v>638</v>
      </c>
      <c r="I451" t="s">
        <v>638</v>
      </c>
      <c r="J451">
        <v>0</v>
      </c>
      <c r="K451" s="60">
        <v>44006000026</v>
      </c>
      <c r="L451" s="60" t="s">
        <v>696</v>
      </c>
      <c r="M451" s="57">
        <v>170087.8</v>
      </c>
      <c r="N451" s="57">
        <v>328742.94</v>
      </c>
      <c r="O451" s="57">
        <v>307009.57</v>
      </c>
      <c r="Q451">
        <v>550</v>
      </c>
      <c r="R451" t="s">
        <v>1037</v>
      </c>
      <c r="T451" s="57">
        <v>170087.8</v>
      </c>
      <c r="U451" s="57">
        <v>328742.94</v>
      </c>
      <c r="V451" s="57">
        <v>307009.57</v>
      </c>
    </row>
    <row r="452" spans="1:22" ht="15.75" customHeight="1" x14ac:dyDescent="0.3">
      <c r="A452" s="57" t="s">
        <v>571</v>
      </c>
      <c r="B452" s="57" t="s">
        <v>604</v>
      </c>
      <c r="C452" s="58" t="s">
        <v>1277</v>
      </c>
      <c r="D452" s="58" t="s">
        <v>1072</v>
      </c>
      <c r="E452" s="59" t="s">
        <v>1282</v>
      </c>
      <c r="F452" s="55" t="s">
        <v>571</v>
      </c>
      <c r="G452" s="55" t="s">
        <v>604</v>
      </c>
      <c r="H452" t="s">
        <v>638</v>
      </c>
      <c r="I452" t="s">
        <v>638</v>
      </c>
      <c r="J452">
        <v>0</v>
      </c>
      <c r="K452" s="60">
        <v>44006000027</v>
      </c>
      <c r="L452" s="60" t="s">
        <v>697</v>
      </c>
      <c r="M452" s="57">
        <v>3590.63</v>
      </c>
      <c r="N452" s="57">
        <v>2343.75</v>
      </c>
      <c r="O452" s="57">
        <v>6871.44</v>
      </c>
      <c r="Q452">
        <v>550</v>
      </c>
      <c r="R452" t="s">
        <v>1037</v>
      </c>
      <c r="T452" s="57">
        <v>3590.63</v>
      </c>
      <c r="U452" s="57">
        <v>2343.75</v>
      </c>
      <c r="V452" s="57">
        <v>6871.44</v>
      </c>
    </row>
    <row r="453" spans="1:22" ht="15.75" customHeight="1" x14ac:dyDescent="0.3">
      <c r="A453" s="57" t="s">
        <v>571</v>
      </c>
      <c r="B453" s="57" t="s">
        <v>604</v>
      </c>
      <c r="C453" s="58" t="s">
        <v>1277</v>
      </c>
      <c r="D453" s="58" t="s">
        <v>1072</v>
      </c>
      <c r="E453" s="59" t="s">
        <v>1282</v>
      </c>
      <c r="F453" s="55" t="s">
        <v>571</v>
      </c>
      <c r="G453" s="55" t="s">
        <v>604</v>
      </c>
      <c r="H453" t="s">
        <v>638</v>
      </c>
      <c r="I453" t="s">
        <v>638</v>
      </c>
      <c r="J453">
        <v>0</v>
      </c>
      <c r="K453" s="60">
        <v>44006000028</v>
      </c>
      <c r="L453" s="60" t="s">
        <v>698</v>
      </c>
      <c r="M453" s="57">
        <v>17859.59</v>
      </c>
      <c r="N453" s="57">
        <v>141252.62</v>
      </c>
      <c r="O453" s="57">
        <v>174355.82</v>
      </c>
      <c r="Q453">
        <v>550</v>
      </c>
      <c r="R453" t="s">
        <v>1037</v>
      </c>
      <c r="T453" s="57">
        <v>17859.59</v>
      </c>
      <c r="U453" s="57">
        <v>141252.62</v>
      </c>
      <c r="V453" s="57">
        <v>174355.82</v>
      </c>
    </row>
    <row r="454" spans="1:22" ht="15.75" customHeight="1" x14ac:dyDescent="0.3">
      <c r="A454" s="57" t="s">
        <v>571</v>
      </c>
      <c r="B454" s="57" t="s">
        <v>604</v>
      </c>
      <c r="C454" s="58" t="s">
        <v>1277</v>
      </c>
      <c r="D454" s="58" t="s">
        <v>1072</v>
      </c>
      <c r="E454" s="59" t="s">
        <v>1282</v>
      </c>
      <c r="F454" s="55" t="s">
        <v>571</v>
      </c>
      <c r="G454" s="55" t="s">
        <v>604</v>
      </c>
      <c r="H454" t="s">
        <v>638</v>
      </c>
      <c r="I454" t="s">
        <v>638</v>
      </c>
      <c r="J454">
        <v>0</v>
      </c>
      <c r="K454" s="60">
        <v>44006000029</v>
      </c>
      <c r="L454" s="60" t="s">
        <v>699</v>
      </c>
      <c r="M454" s="57">
        <v>0</v>
      </c>
      <c r="N454" s="57">
        <v>6297.66</v>
      </c>
      <c r="O454" s="57">
        <v>26430.14</v>
      </c>
      <c r="Q454">
        <v>550</v>
      </c>
      <c r="R454" t="s">
        <v>1037</v>
      </c>
      <c r="T454" s="57">
        <v>0</v>
      </c>
      <c r="U454" s="57">
        <v>6297.66</v>
      </c>
      <c r="V454" s="57">
        <v>26430.14</v>
      </c>
    </row>
    <row r="455" spans="1:22" ht="15.75" customHeight="1" x14ac:dyDescent="0.3">
      <c r="A455" s="57" t="s">
        <v>571</v>
      </c>
      <c r="B455" s="57" t="s">
        <v>604</v>
      </c>
      <c r="C455" s="58" t="s">
        <v>1277</v>
      </c>
      <c r="D455" s="58" t="s">
        <v>1072</v>
      </c>
      <c r="E455" s="59" t="s">
        <v>1282</v>
      </c>
      <c r="F455" s="55" t="s">
        <v>571</v>
      </c>
      <c r="G455" s="55" t="s">
        <v>604</v>
      </c>
      <c r="H455" t="s">
        <v>638</v>
      </c>
      <c r="I455" t="s">
        <v>638</v>
      </c>
      <c r="J455">
        <v>0</v>
      </c>
      <c r="K455" s="60">
        <v>44006000030</v>
      </c>
      <c r="L455" s="60" t="s">
        <v>700</v>
      </c>
      <c r="M455" s="57">
        <v>3537.55</v>
      </c>
      <c r="N455" s="57">
        <v>4625.72</v>
      </c>
      <c r="O455" s="57">
        <v>7488</v>
      </c>
      <c r="Q455">
        <v>550</v>
      </c>
      <c r="R455" t="s">
        <v>1037</v>
      </c>
      <c r="T455" s="57">
        <v>3537.55</v>
      </c>
      <c r="U455" s="57">
        <v>4625.72</v>
      </c>
      <c r="V455" s="57">
        <v>7488</v>
      </c>
    </row>
    <row r="456" spans="1:22" ht="15.75" customHeight="1" x14ac:dyDescent="0.3">
      <c r="A456" s="57" t="s">
        <v>571</v>
      </c>
      <c r="B456" s="57" t="s">
        <v>604</v>
      </c>
      <c r="C456" s="58" t="s">
        <v>1277</v>
      </c>
      <c r="D456" s="58" t="s">
        <v>1072</v>
      </c>
      <c r="E456" s="59" t="s">
        <v>1282</v>
      </c>
      <c r="F456" s="55" t="s">
        <v>571</v>
      </c>
      <c r="G456" s="55" t="s">
        <v>604</v>
      </c>
      <c r="H456" t="s">
        <v>638</v>
      </c>
      <c r="I456" t="s">
        <v>638</v>
      </c>
      <c r="J456">
        <v>0</v>
      </c>
      <c r="K456" s="60">
        <v>44006000033</v>
      </c>
      <c r="L456" s="60" t="s">
        <v>701</v>
      </c>
      <c r="M456" s="57">
        <v>0</v>
      </c>
      <c r="N456" s="57">
        <v>0</v>
      </c>
      <c r="O456" s="57">
        <v>24200</v>
      </c>
      <c r="Q456">
        <v>550</v>
      </c>
      <c r="R456" t="s">
        <v>1037</v>
      </c>
      <c r="T456" s="57">
        <v>0</v>
      </c>
      <c r="U456" s="57">
        <v>0</v>
      </c>
      <c r="V456" s="57">
        <v>24200</v>
      </c>
    </row>
    <row r="457" spans="1:22" ht="15.75" customHeight="1" x14ac:dyDescent="0.3">
      <c r="A457" s="57" t="s">
        <v>571</v>
      </c>
      <c r="B457" s="57" t="s">
        <v>604</v>
      </c>
      <c r="C457" s="58" t="s">
        <v>1277</v>
      </c>
      <c r="D457" s="58" t="s">
        <v>1072</v>
      </c>
      <c r="E457" s="59" t="s">
        <v>1282</v>
      </c>
      <c r="F457" s="55" t="s">
        <v>571</v>
      </c>
      <c r="G457" s="55" t="s">
        <v>604</v>
      </c>
      <c r="H457" t="s">
        <v>638</v>
      </c>
      <c r="I457" t="s">
        <v>638</v>
      </c>
      <c r="J457">
        <v>0</v>
      </c>
      <c r="K457" s="60">
        <v>44008000001</v>
      </c>
      <c r="L457" s="60" t="s">
        <v>702</v>
      </c>
      <c r="M457" s="57">
        <v>11794.16</v>
      </c>
      <c r="N457" s="57">
        <v>11397.05</v>
      </c>
      <c r="O457" s="57">
        <v>11737.85</v>
      </c>
      <c r="Q457">
        <v>550</v>
      </c>
      <c r="R457" t="s">
        <v>1037</v>
      </c>
      <c r="T457" s="57">
        <v>11794.16</v>
      </c>
      <c r="U457" s="57">
        <v>11397.05</v>
      </c>
      <c r="V457" s="57">
        <v>11737.85</v>
      </c>
    </row>
    <row r="458" spans="1:22" ht="15.75" customHeight="1" x14ac:dyDescent="0.3">
      <c r="A458" s="57" t="s">
        <v>571</v>
      </c>
      <c r="B458" s="57" t="s">
        <v>604</v>
      </c>
      <c r="C458" s="58" t="s">
        <v>1277</v>
      </c>
      <c r="D458" s="58" t="s">
        <v>1072</v>
      </c>
      <c r="E458" s="59" t="s">
        <v>1282</v>
      </c>
      <c r="F458" s="55" t="s">
        <v>571</v>
      </c>
      <c r="G458" s="55" t="s">
        <v>604</v>
      </c>
      <c r="H458" t="s">
        <v>638</v>
      </c>
      <c r="I458" t="s">
        <v>638</v>
      </c>
      <c r="J458">
        <v>0</v>
      </c>
      <c r="K458" s="60">
        <v>44008000004</v>
      </c>
      <c r="L458" s="60" t="s">
        <v>703</v>
      </c>
      <c r="M458" s="57">
        <v>50827.34</v>
      </c>
      <c r="N458" s="57">
        <v>194038.42</v>
      </c>
      <c r="O458" s="57">
        <v>98215.74</v>
      </c>
      <c r="Q458">
        <v>550</v>
      </c>
      <c r="R458" t="s">
        <v>1037</v>
      </c>
      <c r="T458" s="57">
        <v>50827.34</v>
      </c>
      <c r="U458" s="57">
        <v>62051.82</v>
      </c>
      <c r="V458" s="57">
        <v>98215.74</v>
      </c>
    </row>
    <row r="459" spans="1:22" ht="15.75" customHeight="1" x14ac:dyDescent="0.3">
      <c r="A459" s="57" t="s">
        <v>571</v>
      </c>
      <c r="B459" s="57" t="s">
        <v>604</v>
      </c>
      <c r="C459" s="58" t="s">
        <v>1277</v>
      </c>
      <c r="D459" s="58" t="s">
        <v>1072</v>
      </c>
      <c r="E459" s="59" t="s">
        <v>1282</v>
      </c>
      <c r="F459" s="55" t="s">
        <v>571</v>
      </c>
      <c r="G459" s="55" t="s">
        <v>604</v>
      </c>
      <c r="H459" t="s">
        <v>638</v>
      </c>
      <c r="I459" t="s">
        <v>638</v>
      </c>
      <c r="J459">
        <v>0</v>
      </c>
      <c r="K459" s="60">
        <v>44008000006</v>
      </c>
      <c r="L459" s="60" t="s">
        <v>704</v>
      </c>
      <c r="M459" s="57">
        <v>71412.75</v>
      </c>
      <c r="N459" s="57">
        <v>62599.91</v>
      </c>
      <c r="O459" s="57">
        <v>79092.31</v>
      </c>
      <c r="Q459">
        <v>550</v>
      </c>
      <c r="R459" t="s">
        <v>1037</v>
      </c>
      <c r="T459" s="57">
        <v>71412.75</v>
      </c>
      <c r="U459" s="57">
        <v>62599.91</v>
      </c>
      <c r="V459" s="57">
        <v>79092.31</v>
      </c>
    </row>
    <row r="460" spans="1:22" ht="15.75" customHeight="1" x14ac:dyDescent="0.3">
      <c r="A460" s="57" t="s">
        <v>571</v>
      </c>
      <c r="B460" s="57" t="s">
        <v>604</v>
      </c>
      <c r="C460" s="58" t="s">
        <v>1277</v>
      </c>
      <c r="D460" s="58" t="s">
        <v>1072</v>
      </c>
      <c r="E460" s="59" t="s">
        <v>1282</v>
      </c>
      <c r="F460" s="55" t="s">
        <v>571</v>
      </c>
      <c r="G460" s="55" t="s">
        <v>604</v>
      </c>
      <c r="H460" t="s">
        <v>638</v>
      </c>
      <c r="I460" t="s">
        <v>638</v>
      </c>
      <c r="J460">
        <v>0</v>
      </c>
      <c r="K460" s="60">
        <v>44008000008</v>
      </c>
      <c r="L460" s="60" t="s">
        <v>705</v>
      </c>
      <c r="M460" s="57">
        <v>159901.1</v>
      </c>
      <c r="N460" s="57">
        <v>114127</v>
      </c>
      <c r="O460" s="57">
        <v>115874</v>
      </c>
      <c r="Q460">
        <v>550</v>
      </c>
      <c r="R460" t="s">
        <v>1037</v>
      </c>
      <c r="T460" s="57">
        <v>159901.1</v>
      </c>
      <c r="U460" s="57">
        <v>114127</v>
      </c>
      <c r="V460" s="57">
        <v>115874</v>
      </c>
    </row>
    <row r="461" spans="1:22" ht="15.75" customHeight="1" x14ac:dyDescent="0.3">
      <c r="A461" s="57" t="s">
        <v>571</v>
      </c>
      <c r="B461" s="57" t="s">
        <v>604</v>
      </c>
      <c r="C461" s="58" t="s">
        <v>1277</v>
      </c>
      <c r="D461" s="58" t="s">
        <v>1072</v>
      </c>
      <c r="E461" s="59" t="s">
        <v>1282</v>
      </c>
      <c r="F461" s="55" t="s">
        <v>571</v>
      </c>
      <c r="G461" s="55" t="s">
        <v>604</v>
      </c>
      <c r="H461" t="s">
        <v>638</v>
      </c>
      <c r="I461" t="s">
        <v>638</v>
      </c>
      <c r="J461">
        <v>0</v>
      </c>
      <c r="K461" s="60">
        <v>44008000009</v>
      </c>
      <c r="L461" s="60" t="s">
        <v>706</v>
      </c>
      <c r="M461" s="57">
        <v>32934.51</v>
      </c>
      <c r="N461" s="57">
        <v>23901.97</v>
      </c>
      <c r="O461" s="57">
        <v>26051.95</v>
      </c>
      <c r="Q461">
        <v>550</v>
      </c>
      <c r="R461" t="s">
        <v>1037</v>
      </c>
      <c r="T461" s="57">
        <v>32934.51</v>
      </c>
      <c r="U461" s="57">
        <v>23901.97</v>
      </c>
      <c r="V461" s="57">
        <v>26051.95</v>
      </c>
    </row>
    <row r="462" spans="1:22" ht="15.75" customHeight="1" x14ac:dyDescent="0.3">
      <c r="A462" s="57" t="s">
        <v>571</v>
      </c>
      <c r="B462" s="57" t="s">
        <v>604</v>
      </c>
      <c r="C462" s="58" t="s">
        <v>1277</v>
      </c>
      <c r="D462" s="58" t="s">
        <v>1072</v>
      </c>
      <c r="E462" s="59" t="s">
        <v>1282</v>
      </c>
      <c r="F462" s="55" t="s">
        <v>571</v>
      </c>
      <c r="G462" s="55" t="s">
        <v>604</v>
      </c>
      <c r="H462" t="s">
        <v>638</v>
      </c>
      <c r="I462" t="s">
        <v>638</v>
      </c>
      <c r="J462">
        <v>0</v>
      </c>
      <c r="K462" s="60">
        <v>44008000011</v>
      </c>
      <c r="L462" s="60" t="s">
        <v>707</v>
      </c>
      <c r="M462" s="57">
        <v>14073.33</v>
      </c>
      <c r="N462" s="57">
        <v>14240</v>
      </c>
      <c r="O462" s="57">
        <v>14400</v>
      </c>
      <c r="Q462">
        <v>550</v>
      </c>
      <c r="R462" t="s">
        <v>1037</v>
      </c>
      <c r="T462" s="57">
        <v>14073.33</v>
      </c>
      <c r="U462" s="57">
        <v>14240</v>
      </c>
      <c r="V462" s="57">
        <v>14400</v>
      </c>
    </row>
    <row r="463" spans="1:22" ht="15.75" customHeight="1" x14ac:dyDescent="0.3">
      <c r="A463" s="57" t="s">
        <v>571</v>
      </c>
      <c r="B463" s="57" t="s">
        <v>604</v>
      </c>
      <c r="C463" s="58" t="s">
        <v>1277</v>
      </c>
      <c r="D463" s="58" t="s">
        <v>1072</v>
      </c>
      <c r="E463" s="59" t="s">
        <v>1282</v>
      </c>
      <c r="F463" s="55" t="s">
        <v>571</v>
      </c>
      <c r="G463" s="55" t="s">
        <v>604</v>
      </c>
      <c r="H463" t="s">
        <v>638</v>
      </c>
      <c r="I463" t="s">
        <v>638</v>
      </c>
      <c r="J463">
        <v>0</v>
      </c>
      <c r="K463" s="60">
        <v>44008000021</v>
      </c>
      <c r="L463" s="60" t="s">
        <v>708</v>
      </c>
      <c r="M463" s="57">
        <v>15483.05</v>
      </c>
      <c r="N463" s="57">
        <v>14720.23</v>
      </c>
      <c r="O463" s="57">
        <v>9355.4699999999993</v>
      </c>
      <c r="Q463">
        <v>550</v>
      </c>
      <c r="R463" t="s">
        <v>1037</v>
      </c>
      <c r="T463" s="57">
        <v>15483.05</v>
      </c>
      <c r="U463" s="57">
        <v>14720.23</v>
      </c>
      <c r="V463" s="57">
        <v>9355.4699999999993</v>
      </c>
    </row>
    <row r="464" spans="1:22" ht="15.75" customHeight="1" x14ac:dyDescent="0.3">
      <c r="A464" s="57" t="s">
        <v>571</v>
      </c>
      <c r="B464" s="57" t="s">
        <v>604</v>
      </c>
      <c r="C464" s="58" t="s">
        <v>1277</v>
      </c>
      <c r="D464" s="58" t="s">
        <v>1072</v>
      </c>
      <c r="E464" s="59" t="s">
        <v>1282</v>
      </c>
      <c r="F464" s="55" t="s">
        <v>571</v>
      </c>
      <c r="G464" s="55" t="s">
        <v>604</v>
      </c>
      <c r="H464" t="s">
        <v>638</v>
      </c>
      <c r="I464" t="s">
        <v>638</v>
      </c>
      <c r="J464">
        <v>0</v>
      </c>
      <c r="K464" s="60">
        <v>44008000022</v>
      </c>
      <c r="L464" s="60" t="s">
        <v>709</v>
      </c>
      <c r="M464" s="57">
        <v>665.17</v>
      </c>
      <c r="N464" s="57">
        <v>630.17999999999995</v>
      </c>
      <c r="O464" s="57">
        <v>429.57</v>
      </c>
      <c r="Q464">
        <v>550</v>
      </c>
      <c r="R464" t="s">
        <v>1037</v>
      </c>
      <c r="T464" s="57">
        <v>665.17</v>
      </c>
      <c r="U464" s="57">
        <v>630.17999999999995</v>
      </c>
      <c r="V464" s="57">
        <v>429.57</v>
      </c>
    </row>
    <row r="465" spans="1:22" ht="15.75" customHeight="1" x14ac:dyDescent="0.3">
      <c r="A465" s="57" t="s">
        <v>571</v>
      </c>
      <c r="B465" s="57" t="s">
        <v>604</v>
      </c>
      <c r="C465" s="58" t="s">
        <v>1277</v>
      </c>
      <c r="D465" s="58" t="s">
        <v>1072</v>
      </c>
      <c r="E465" s="59" t="s">
        <v>1282</v>
      </c>
      <c r="F465" s="55" t="s">
        <v>571</v>
      </c>
      <c r="G465" s="55" t="s">
        <v>604</v>
      </c>
      <c r="H465" t="s">
        <v>638</v>
      </c>
      <c r="I465" t="s">
        <v>638</v>
      </c>
      <c r="J465">
        <v>0</v>
      </c>
      <c r="K465" s="60">
        <v>44008000023</v>
      </c>
      <c r="L465" s="60" t="s">
        <v>710</v>
      </c>
      <c r="M465" s="57">
        <v>12646.68</v>
      </c>
      <c r="N465" s="57">
        <v>11946.32</v>
      </c>
      <c r="O465" s="57">
        <v>14005.15</v>
      </c>
      <c r="Q465">
        <v>550</v>
      </c>
      <c r="R465" t="s">
        <v>1037</v>
      </c>
      <c r="T465" s="57">
        <v>12646.68</v>
      </c>
      <c r="U465" s="57">
        <v>11946.32</v>
      </c>
      <c r="V465" s="57">
        <v>14005.15</v>
      </c>
    </row>
    <row r="466" spans="1:22" ht="15.75" customHeight="1" x14ac:dyDescent="0.3">
      <c r="A466" s="57" t="s">
        <v>571</v>
      </c>
      <c r="B466" s="57" t="s">
        <v>604</v>
      </c>
      <c r="C466" s="58" t="s">
        <v>1277</v>
      </c>
      <c r="D466" s="58" t="s">
        <v>1072</v>
      </c>
      <c r="E466" s="59" t="s">
        <v>1282</v>
      </c>
      <c r="F466" s="55" t="s">
        <v>571</v>
      </c>
      <c r="G466" s="55" t="s">
        <v>604</v>
      </c>
      <c r="H466" t="s">
        <v>638</v>
      </c>
      <c r="I466" t="s">
        <v>638</v>
      </c>
      <c r="J466">
        <v>0</v>
      </c>
      <c r="K466" s="60">
        <v>44008000024</v>
      </c>
      <c r="L466" s="60" t="s">
        <v>711</v>
      </c>
      <c r="M466" s="57">
        <v>5084.13</v>
      </c>
      <c r="N466" s="57">
        <v>3987.94</v>
      </c>
      <c r="O466" s="57">
        <v>3609.91</v>
      </c>
      <c r="Q466">
        <v>550</v>
      </c>
      <c r="R466" t="s">
        <v>1037</v>
      </c>
      <c r="T466" s="57">
        <v>5084.13</v>
      </c>
      <c r="U466" s="57">
        <v>3987.94</v>
      </c>
      <c r="V466" s="57">
        <v>3609.91</v>
      </c>
    </row>
    <row r="467" spans="1:22" ht="15.75" customHeight="1" x14ac:dyDescent="0.3">
      <c r="A467" s="57" t="s">
        <v>571</v>
      </c>
      <c r="B467" s="57" t="s">
        <v>604</v>
      </c>
      <c r="C467" s="58" t="s">
        <v>1277</v>
      </c>
      <c r="D467" s="58" t="s">
        <v>1072</v>
      </c>
      <c r="E467" s="59" t="s">
        <v>1282</v>
      </c>
      <c r="F467" s="55" t="s">
        <v>571</v>
      </c>
      <c r="G467" s="55" t="s">
        <v>604</v>
      </c>
      <c r="H467" t="s">
        <v>638</v>
      </c>
      <c r="I467" t="s">
        <v>638</v>
      </c>
      <c r="J467">
        <v>0</v>
      </c>
      <c r="K467" s="60">
        <v>44008000025</v>
      </c>
      <c r="L467" s="60" t="s">
        <v>712</v>
      </c>
      <c r="M467" s="57">
        <v>6351.43</v>
      </c>
      <c r="N467" s="57">
        <v>7357.83</v>
      </c>
      <c r="O467" s="57">
        <v>4720.46</v>
      </c>
      <c r="Q467">
        <v>550</v>
      </c>
      <c r="R467" t="s">
        <v>1037</v>
      </c>
      <c r="T467" s="57">
        <v>6351.43</v>
      </c>
      <c r="U467" s="57">
        <v>7357.83</v>
      </c>
      <c r="V467" s="57">
        <v>4720.46</v>
      </c>
    </row>
    <row r="468" spans="1:22" ht="15.75" customHeight="1" x14ac:dyDescent="0.3">
      <c r="A468" s="57" t="s">
        <v>571</v>
      </c>
      <c r="B468" s="57" t="s">
        <v>604</v>
      </c>
      <c r="C468" s="58" t="s">
        <v>1277</v>
      </c>
      <c r="D468" s="58" t="s">
        <v>1283</v>
      </c>
      <c r="E468" s="59" t="s">
        <v>1284</v>
      </c>
      <c r="F468" s="55" t="s">
        <v>571</v>
      </c>
      <c r="G468" s="55" t="s">
        <v>604</v>
      </c>
      <c r="H468" t="s">
        <v>638</v>
      </c>
      <c r="I468" t="s">
        <v>638</v>
      </c>
      <c r="J468">
        <v>0</v>
      </c>
      <c r="K468" s="60">
        <v>44008000026</v>
      </c>
      <c r="L468" s="60" t="s">
        <v>713</v>
      </c>
      <c r="M468" s="57">
        <v>125494.19</v>
      </c>
      <c r="N468" s="57">
        <v>126058.91</v>
      </c>
      <c r="O468" s="57">
        <v>126058.91</v>
      </c>
      <c r="Q468">
        <v>550</v>
      </c>
      <c r="R468" t="s">
        <v>1038</v>
      </c>
      <c r="T468" s="57">
        <v>125494.19</v>
      </c>
      <c r="U468" s="57">
        <v>126058.91</v>
      </c>
      <c r="V468" s="57">
        <v>126058.91</v>
      </c>
    </row>
    <row r="469" spans="1:22" ht="15.75" customHeight="1" x14ac:dyDescent="0.3">
      <c r="A469" s="57" t="s">
        <v>571</v>
      </c>
      <c r="B469" s="57" t="s">
        <v>604</v>
      </c>
      <c r="C469" s="58" t="s">
        <v>1277</v>
      </c>
      <c r="D469" s="58" t="s">
        <v>1072</v>
      </c>
      <c r="E469" s="59" t="s">
        <v>1282</v>
      </c>
      <c r="F469" s="55" t="s">
        <v>571</v>
      </c>
      <c r="G469" s="55" t="s">
        <v>604</v>
      </c>
      <c r="H469" t="s">
        <v>638</v>
      </c>
      <c r="I469" t="s">
        <v>638</v>
      </c>
      <c r="J469">
        <v>0</v>
      </c>
      <c r="K469" s="60">
        <v>44008000030</v>
      </c>
      <c r="L469" s="60" t="s">
        <v>714</v>
      </c>
      <c r="M469" s="57">
        <v>19260.36</v>
      </c>
      <c r="N469" s="57">
        <v>19323.240000000002</v>
      </c>
      <c r="O469" s="57">
        <v>11347.24</v>
      </c>
      <c r="Q469">
        <v>550</v>
      </c>
      <c r="R469" t="s">
        <v>1037</v>
      </c>
      <c r="T469" s="57">
        <v>19260.36</v>
      </c>
      <c r="U469" s="57">
        <v>19323.240000000002</v>
      </c>
      <c r="V469" s="57">
        <v>11347.24</v>
      </c>
    </row>
    <row r="470" spans="1:22" ht="15.75" customHeight="1" x14ac:dyDescent="0.3">
      <c r="A470" s="57" t="s">
        <v>571</v>
      </c>
      <c r="B470" s="57" t="s">
        <v>604</v>
      </c>
      <c r="C470" s="58" t="s">
        <v>1277</v>
      </c>
      <c r="D470" s="58" t="s">
        <v>1072</v>
      </c>
      <c r="E470" s="59" t="s">
        <v>1282</v>
      </c>
      <c r="F470" s="55" t="s">
        <v>571</v>
      </c>
      <c r="G470" s="55" t="s">
        <v>604</v>
      </c>
      <c r="H470" t="s">
        <v>638</v>
      </c>
      <c r="I470" t="s">
        <v>638</v>
      </c>
      <c r="J470">
        <v>0</v>
      </c>
      <c r="K470" s="60">
        <v>44008000031</v>
      </c>
      <c r="L470" s="60" t="s">
        <v>715</v>
      </c>
      <c r="M470" s="57">
        <v>38856.36</v>
      </c>
      <c r="N470" s="57">
        <v>34823.35</v>
      </c>
      <c r="O470" s="57">
        <v>31936.9</v>
      </c>
      <c r="Q470">
        <v>550</v>
      </c>
      <c r="R470" t="s">
        <v>1037</v>
      </c>
      <c r="T470" s="57">
        <v>38856.36</v>
      </c>
      <c r="U470" s="57">
        <v>34823.35</v>
      </c>
      <c r="V470" s="57">
        <v>31936.9</v>
      </c>
    </row>
    <row r="471" spans="1:22" ht="15.75" customHeight="1" x14ac:dyDescent="0.3">
      <c r="A471" s="57" t="s">
        <v>571</v>
      </c>
      <c r="B471" s="57" t="s">
        <v>604</v>
      </c>
      <c r="C471" s="58" t="s">
        <v>1277</v>
      </c>
      <c r="D471" s="58" t="s">
        <v>1072</v>
      </c>
      <c r="E471" s="59" t="s">
        <v>1282</v>
      </c>
      <c r="F471" s="55" t="s">
        <v>571</v>
      </c>
      <c r="G471" s="55" t="s">
        <v>604</v>
      </c>
      <c r="H471" t="s">
        <v>638</v>
      </c>
      <c r="I471" t="s">
        <v>638</v>
      </c>
      <c r="J471">
        <v>0</v>
      </c>
      <c r="K471" s="60">
        <v>44008000033</v>
      </c>
      <c r="L471" s="60" t="s">
        <v>716</v>
      </c>
      <c r="M471" s="57">
        <v>56843.72</v>
      </c>
      <c r="N471" s="57">
        <v>55108.98</v>
      </c>
      <c r="O471" s="57">
        <v>132925.03</v>
      </c>
      <c r="Q471">
        <v>550</v>
      </c>
      <c r="R471" t="s">
        <v>1037</v>
      </c>
      <c r="T471" s="57">
        <v>56843.72</v>
      </c>
      <c r="U471" s="57">
        <v>55108.98</v>
      </c>
      <c r="V471" s="57">
        <v>132925.03</v>
      </c>
    </row>
    <row r="472" spans="1:22" ht="15.75" customHeight="1" x14ac:dyDescent="0.3">
      <c r="A472" s="57" t="s">
        <v>571</v>
      </c>
      <c r="B472" s="57" t="s">
        <v>604</v>
      </c>
      <c r="C472" s="58" t="s">
        <v>1277</v>
      </c>
      <c r="D472" s="58" t="s">
        <v>1072</v>
      </c>
      <c r="E472" s="59" t="s">
        <v>1282</v>
      </c>
      <c r="F472" s="55" t="s">
        <v>571</v>
      </c>
      <c r="G472" s="55" t="s">
        <v>604</v>
      </c>
      <c r="H472" t="s">
        <v>638</v>
      </c>
      <c r="I472" t="s">
        <v>638</v>
      </c>
      <c r="J472">
        <v>0</v>
      </c>
      <c r="K472" s="60">
        <v>44008000034</v>
      </c>
      <c r="L472" s="60" t="s">
        <v>717</v>
      </c>
      <c r="M472" s="57">
        <v>5097.5600000000004</v>
      </c>
      <c r="N472" s="57">
        <v>10661.77</v>
      </c>
      <c r="O472" s="57">
        <v>12168.16</v>
      </c>
      <c r="Q472">
        <v>550</v>
      </c>
      <c r="R472" t="s">
        <v>1037</v>
      </c>
      <c r="T472" s="57">
        <v>5097.5600000000004</v>
      </c>
      <c r="U472" s="57">
        <v>10661.77</v>
      </c>
      <c r="V472" s="57">
        <v>12168.16</v>
      </c>
    </row>
    <row r="473" spans="1:22" ht="15.75" customHeight="1" x14ac:dyDescent="0.3">
      <c r="A473" s="57" t="s">
        <v>571</v>
      </c>
      <c r="B473" s="57" t="s">
        <v>604</v>
      </c>
      <c r="C473" s="58" t="s">
        <v>1277</v>
      </c>
      <c r="D473" s="58" t="s">
        <v>1072</v>
      </c>
      <c r="E473" s="59" t="s">
        <v>1282</v>
      </c>
      <c r="F473" s="55" t="s">
        <v>571</v>
      </c>
      <c r="G473" s="55" t="s">
        <v>604</v>
      </c>
      <c r="H473" t="s">
        <v>638</v>
      </c>
      <c r="I473" t="s">
        <v>638</v>
      </c>
      <c r="J473">
        <v>0</v>
      </c>
      <c r="K473" s="60">
        <v>44008000037</v>
      </c>
      <c r="L473" s="60" t="s">
        <v>718</v>
      </c>
      <c r="M473" s="57">
        <v>0</v>
      </c>
      <c r="N473" s="57">
        <v>75.59</v>
      </c>
      <c r="O473" s="57">
        <v>107.39</v>
      </c>
      <c r="Q473">
        <v>550</v>
      </c>
      <c r="R473" t="s">
        <v>1037</v>
      </c>
      <c r="T473" s="57">
        <v>0</v>
      </c>
      <c r="U473" s="57">
        <v>75.59</v>
      </c>
      <c r="V473" s="57">
        <v>107.39</v>
      </c>
    </row>
    <row r="474" spans="1:22" ht="15.75" customHeight="1" x14ac:dyDescent="0.3">
      <c r="A474" s="57" t="s">
        <v>571</v>
      </c>
      <c r="B474" s="57" t="s">
        <v>604</v>
      </c>
      <c r="C474" s="58" t="s">
        <v>1277</v>
      </c>
      <c r="D474" s="58" t="s">
        <v>1072</v>
      </c>
      <c r="E474" s="59" t="s">
        <v>1282</v>
      </c>
      <c r="F474" s="55" t="s">
        <v>571</v>
      </c>
      <c r="G474" s="55" t="s">
        <v>604</v>
      </c>
      <c r="H474" t="s">
        <v>638</v>
      </c>
      <c r="I474" t="s">
        <v>638</v>
      </c>
      <c r="J474">
        <v>0</v>
      </c>
      <c r="K474" s="60">
        <v>44008000038</v>
      </c>
      <c r="L474" s="60" t="s">
        <v>719</v>
      </c>
      <c r="M474" s="57">
        <v>4506.57</v>
      </c>
      <c r="N474" s="57">
        <v>3173.24</v>
      </c>
      <c r="O474" s="57">
        <v>2249.27</v>
      </c>
      <c r="Q474">
        <v>550</v>
      </c>
      <c r="R474" t="s">
        <v>1037</v>
      </c>
      <c r="T474" s="57">
        <v>4506.57</v>
      </c>
      <c r="U474" s="57">
        <v>3173.24</v>
      </c>
      <c r="V474" s="57">
        <v>2249.27</v>
      </c>
    </row>
    <row r="475" spans="1:22" ht="15.75" customHeight="1" x14ac:dyDescent="0.3">
      <c r="A475" s="57" t="s">
        <v>571</v>
      </c>
      <c r="B475" s="57" t="s">
        <v>604</v>
      </c>
      <c r="C475" s="58" t="s">
        <v>1277</v>
      </c>
      <c r="D475" s="58" t="s">
        <v>1072</v>
      </c>
      <c r="E475" s="59" t="s">
        <v>1282</v>
      </c>
      <c r="F475" s="55" t="s">
        <v>571</v>
      </c>
      <c r="G475" s="55" t="s">
        <v>604</v>
      </c>
      <c r="H475" t="s">
        <v>638</v>
      </c>
      <c r="I475" t="s">
        <v>638</v>
      </c>
      <c r="J475">
        <v>0</v>
      </c>
      <c r="K475" s="60">
        <v>44008000039</v>
      </c>
      <c r="L475" s="60" t="s">
        <v>720</v>
      </c>
      <c r="M475" s="57">
        <v>61079.79</v>
      </c>
      <c r="N475" s="57">
        <v>36921.29</v>
      </c>
      <c r="O475" s="57">
        <v>0</v>
      </c>
      <c r="Q475">
        <v>550</v>
      </c>
      <c r="R475" t="s">
        <v>1037</v>
      </c>
      <c r="T475" s="57">
        <v>61079.79</v>
      </c>
      <c r="U475" s="57">
        <v>36921.29</v>
      </c>
      <c r="V475" s="57">
        <v>0</v>
      </c>
    </row>
    <row r="476" spans="1:22" ht="15.75" customHeight="1" x14ac:dyDescent="0.3">
      <c r="A476" s="57" t="s">
        <v>571</v>
      </c>
      <c r="B476" s="57" t="s">
        <v>604</v>
      </c>
      <c r="C476" s="58" t="s">
        <v>1277</v>
      </c>
      <c r="D476" s="58" t="s">
        <v>1072</v>
      </c>
      <c r="E476" s="59" t="s">
        <v>1282</v>
      </c>
      <c r="F476" s="55" t="s">
        <v>571</v>
      </c>
      <c r="G476" s="55" t="s">
        <v>604</v>
      </c>
      <c r="H476" t="s">
        <v>638</v>
      </c>
      <c r="I476" t="s">
        <v>638</v>
      </c>
      <c r="J476">
        <v>0</v>
      </c>
      <c r="K476" s="60">
        <v>44008000045</v>
      </c>
      <c r="L476" s="60" t="s">
        <v>721</v>
      </c>
      <c r="M476" s="57">
        <v>4746</v>
      </c>
      <c r="N476" s="57">
        <v>4755</v>
      </c>
      <c r="O476" s="57">
        <v>5525</v>
      </c>
      <c r="Q476">
        <v>550</v>
      </c>
      <c r="R476" t="s">
        <v>1037</v>
      </c>
      <c r="T476" s="57">
        <v>4746</v>
      </c>
      <c r="U476" s="57">
        <v>4755</v>
      </c>
      <c r="V476" s="57">
        <v>5525</v>
      </c>
    </row>
    <row r="477" spans="1:22" ht="15.75" customHeight="1" x14ac:dyDescent="0.3">
      <c r="A477" s="57" t="s">
        <v>571</v>
      </c>
      <c r="B477" s="57" t="s">
        <v>604</v>
      </c>
      <c r="C477" s="58" t="s">
        <v>1277</v>
      </c>
      <c r="D477" s="58" t="s">
        <v>1283</v>
      </c>
      <c r="E477" s="59" t="s">
        <v>1284</v>
      </c>
      <c r="F477" s="55" t="s">
        <v>571</v>
      </c>
      <c r="G477" s="55" t="s">
        <v>604</v>
      </c>
      <c r="H477" t="s">
        <v>638</v>
      </c>
      <c r="I477" t="s">
        <v>638</v>
      </c>
      <c r="J477">
        <v>0</v>
      </c>
      <c r="K477" s="76">
        <v>44008000048</v>
      </c>
      <c r="L477" s="77" t="s">
        <v>722</v>
      </c>
      <c r="M477" s="57">
        <v>1948.83</v>
      </c>
      <c r="N477" s="57">
        <v>4883.45</v>
      </c>
      <c r="O477" s="57">
        <v>8446.0499999999993</v>
      </c>
      <c r="Q477">
        <v>550</v>
      </c>
      <c r="R477" t="s">
        <v>1038</v>
      </c>
      <c r="T477" s="57">
        <v>1948.83</v>
      </c>
      <c r="U477" s="57">
        <v>4883.45</v>
      </c>
      <c r="V477" s="57">
        <v>8446.0499999999993</v>
      </c>
    </row>
    <row r="478" spans="1:22" ht="15.75" customHeight="1" x14ac:dyDescent="0.3">
      <c r="A478" s="57" t="s">
        <v>571</v>
      </c>
      <c r="B478" s="57" t="s">
        <v>604</v>
      </c>
      <c r="C478" s="58" t="s">
        <v>1277</v>
      </c>
      <c r="D478" s="58" t="s">
        <v>1283</v>
      </c>
      <c r="E478" s="59" t="s">
        <v>1284</v>
      </c>
      <c r="F478" s="55" t="s">
        <v>571</v>
      </c>
      <c r="G478" s="55" t="s">
        <v>604</v>
      </c>
      <c r="H478" t="s">
        <v>638</v>
      </c>
      <c r="I478" t="s">
        <v>638</v>
      </c>
      <c r="J478">
        <v>0</v>
      </c>
      <c r="K478" s="76">
        <v>44008000049</v>
      </c>
      <c r="L478" s="77" t="s">
        <v>723</v>
      </c>
      <c r="M478" s="57">
        <v>4547.3100000000004</v>
      </c>
      <c r="N478" s="57">
        <v>1924.06</v>
      </c>
      <c r="O478" s="57">
        <v>0</v>
      </c>
      <c r="Q478">
        <v>550</v>
      </c>
      <c r="R478" t="s">
        <v>1038</v>
      </c>
      <c r="T478" s="57">
        <v>4547.3100000000004</v>
      </c>
      <c r="U478" s="57">
        <v>1924.06</v>
      </c>
      <c r="V478" s="57">
        <v>0</v>
      </c>
    </row>
    <row r="479" spans="1:22" ht="15.75" customHeight="1" x14ac:dyDescent="0.3">
      <c r="A479" s="57" t="s">
        <v>571</v>
      </c>
      <c r="B479" s="57" t="s">
        <v>604</v>
      </c>
      <c r="C479" s="58" t="s">
        <v>1277</v>
      </c>
      <c r="D479" s="58" t="s">
        <v>1283</v>
      </c>
      <c r="E479" s="59" t="s">
        <v>1284</v>
      </c>
      <c r="F479" s="55" t="s">
        <v>571</v>
      </c>
      <c r="G479" s="55" t="s">
        <v>604</v>
      </c>
      <c r="H479" t="s">
        <v>638</v>
      </c>
      <c r="I479" t="s">
        <v>638</v>
      </c>
      <c r="J479">
        <v>0</v>
      </c>
      <c r="K479" s="60">
        <v>44004000028</v>
      </c>
      <c r="L479" s="60" t="s">
        <v>724</v>
      </c>
      <c r="M479" s="57">
        <v>16625</v>
      </c>
      <c r="N479" s="57">
        <v>13758.33</v>
      </c>
      <c r="O479" s="57">
        <v>0</v>
      </c>
      <c r="Q479">
        <v>550</v>
      </c>
      <c r="R479" t="s">
        <v>1038</v>
      </c>
      <c r="T479" s="57">
        <v>16625</v>
      </c>
      <c r="U479" s="57">
        <v>13758.33</v>
      </c>
      <c r="V479" s="57">
        <v>0</v>
      </c>
    </row>
    <row r="480" spans="1:22" ht="15.75" customHeight="1" x14ac:dyDescent="0.3">
      <c r="A480" s="57" t="s">
        <v>571</v>
      </c>
      <c r="B480" s="57" t="s">
        <v>604</v>
      </c>
      <c r="C480" s="58" t="s">
        <v>1277</v>
      </c>
      <c r="D480" s="58" t="s">
        <v>1283</v>
      </c>
      <c r="E480" s="59" t="s">
        <v>1284</v>
      </c>
      <c r="F480" s="55" t="s">
        <v>571</v>
      </c>
      <c r="G480" s="55" t="s">
        <v>604</v>
      </c>
      <c r="H480" t="s">
        <v>638</v>
      </c>
      <c r="I480" t="s">
        <v>638</v>
      </c>
      <c r="J480">
        <v>0</v>
      </c>
      <c r="K480" s="60">
        <v>44008000027</v>
      </c>
      <c r="L480" s="60" t="s">
        <v>1285</v>
      </c>
      <c r="M480" s="57">
        <v>0</v>
      </c>
      <c r="N480" s="57">
        <v>0</v>
      </c>
      <c r="O480" s="57">
        <v>4072.47</v>
      </c>
      <c r="Q480">
        <v>550</v>
      </c>
      <c r="R480" t="s">
        <v>1038</v>
      </c>
      <c r="T480" s="57">
        <v>0</v>
      </c>
      <c r="U480" s="57">
        <v>0</v>
      </c>
      <c r="V480" s="57">
        <v>4072.47</v>
      </c>
    </row>
    <row r="481" spans="1:22" ht="15.75" customHeight="1" x14ac:dyDescent="0.3">
      <c r="A481" s="57" t="s">
        <v>571</v>
      </c>
      <c r="B481" s="57" t="s">
        <v>604</v>
      </c>
      <c r="C481" s="58" t="s">
        <v>1277</v>
      </c>
      <c r="D481" s="58" t="s">
        <v>1283</v>
      </c>
      <c r="E481" s="59" t="s">
        <v>1284</v>
      </c>
      <c r="F481" s="55" t="s">
        <v>571</v>
      </c>
      <c r="G481" s="55" t="s">
        <v>604</v>
      </c>
      <c r="H481" t="s">
        <v>638</v>
      </c>
      <c r="I481" t="s">
        <v>638</v>
      </c>
      <c r="J481">
        <v>0</v>
      </c>
      <c r="K481" s="60">
        <v>44008000028</v>
      </c>
      <c r="L481" s="60" t="s">
        <v>725</v>
      </c>
      <c r="M481" s="57">
        <v>0</v>
      </c>
      <c r="N481" s="57">
        <v>0</v>
      </c>
      <c r="O481" s="57">
        <v>0</v>
      </c>
      <c r="Q481">
        <v>550</v>
      </c>
      <c r="R481" t="s">
        <v>1038</v>
      </c>
      <c r="T481" s="57">
        <v>0</v>
      </c>
      <c r="U481" s="57">
        <v>0</v>
      </c>
      <c r="V481" s="57">
        <v>0</v>
      </c>
    </row>
    <row r="482" spans="1:22" ht="15.75" customHeight="1" x14ac:dyDescent="0.3">
      <c r="A482" s="57" t="s">
        <v>571</v>
      </c>
      <c r="B482" s="57" t="s">
        <v>604</v>
      </c>
      <c r="C482" s="58" t="s">
        <v>1277</v>
      </c>
      <c r="D482" s="58" t="s">
        <v>1283</v>
      </c>
      <c r="E482" s="59" t="s">
        <v>1284</v>
      </c>
      <c r="F482" s="55" t="s">
        <v>571</v>
      </c>
      <c r="G482" s="55" t="s">
        <v>604</v>
      </c>
      <c r="H482" t="s">
        <v>638</v>
      </c>
      <c r="I482" t="s">
        <v>638</v>
      </c>
      <c r="J482">
        <v>0</v>
      </c>
      <c r="K482" s="60">
        <v>44008000029</v>
      </c>
      <c r="L482" s="60" t="s">
        <v>726</v>
      </c>
      <c r="M482" s="57">
        <v>0</v>
      </c>
      <c r="N482" s="57">
        <v>0</v>
      </c>
      <c r="O482" s="57">
        <v>665.37</v>
      </c>
      <c r="Q482">
        <v>550</v>
      </c>
      <c r="R482" t="s">
        <v>1038</v>
      </c>
      <c r="T482" s="57">
        <v>0</v>
      </c>
      <c r="U482" s="57">
        <v>0</v>
      </c>
      <c r="V482" s="57">
        <v>665.37</v>
      </c>
    </row>
    <row r="483" spans="1:22" ht="15.75" customHeight="1" x14ac:dyDescent="0.3">
      <c r="A483" s="57" t="s">
        <v>571</v>
      </c>
      <c r="B483" s="57" t="s">
        <v>604</v>
      </c>
      <c r="C483" s="58" t="s">
        <v>1277</v>
      </c>
      <c r="D483" s="58" t="s">
        <v>1283</v>
      </c>
      <c r="E483" s="59" t="s">
        <v>1284</v>
      </c>
      <c r="F483" s="55" t="s">
        <v>571</v>
      </c>
      <c r="G483" s="55" t="s">
        <v>604</v>
      </c>
      <c r="H483" s="61">
        <v>0</v>
      </c>
      <c r="I483" s="61">
        <v>0</v>
      </c>
      <c r="J483" s="61">
        <v>0</v>
      </c>
      <c r="K483" s="60">
        <v>44008000053</v>
      </c>
      <c r="L483" s="60" t="s">
        <v>727</v>
      </c>
      <c r="M483" s="57">
        <v>0</v>
      </c>
      <c r="N483" s="57">
        <v>0</v>
      </c>
      <c r="O483" s="57">
        <v>0.16999999999825377</v>
      </c>
      <c r="Q483">
        <v>550</v>
      </c>
      <c r="R483" t="s">
        <v>1038</v>
      </c>
      <c r="T483" s="57">
        <v>0</v>
      </c>
      <c r="U483" s="57">
        <v>1589.9</v>
      </c>
      <c r="V483" s="57">
        <v>63069.17</v>
      </c>
    </row>
    <row r="484" spans="1:22" ht="15.75" customHeight="1" x14ac:dyDescent="0.3">
      <c r="A484" s="57" t="s">
        <v>571</v>
      </c>
      <c r="B484" s="57" t="s">
        <v>604</v>
      </c>
      <c r="C484" s="58" t="s">
        <v>1277</v>
      </c>
      <c r="D484" s="58" t="s">
        <v>1072</v>
      </c>
      <c r="E484" s="59" t="s">
        <v>1282</v>
      </c>
      <c r="F484" s="55" t="s">
        <v>571</v>
      </c>
      <c r="G484" s="55" t="s">
        <v>604</v>
      </c>
      <c r="H484" t="s">
        <v>638</v>
      </c>
      <c r="I484" t="s">
        <v>638</v>
      </c>
      <c r="J484">
        <v>0</v>
      </c>
      <c r="K484" s="60">
        <v>44006000018</v>
      </c>
      <c r="L484" s="60" t="s">
        <v>728</v>
      </c>
      <c r="M484" s="57">
        <v>0</v>
      </c>
      <c r="N484" s="57">
        <v>2382.64</v>
      </c>
      <c r="O484" s="57">
        <v>0</v>
      </c>
      <c r="Q484">
        <v>550</v>
      </c>
      <c r="R484" t="s">
        <v>1037</v>
      </c>
      <c r="T484" s="57">
        <v>0</v>
      </c>
      <c r="U484" s="57">
        <v>2382.64</v>
      </c>
      <c r="V484" s="57">
        <v>0</v>
      </c>
    </row>
    <row r="485" spans="1:22" ht="15.75" customHeight="1" x14ac:dyDescent="0.3">
      <c r="A485" s="57" t="s">
        <v>571</v>
      </c>
      <c r="B485" s="57" t="s">
        <v>604</v>
      </c>
      <c r="C485" s="58" t="s">
        <v>1277</v>
      </c>
      <c r="D485" s="58" t="s">
        <v>1072</v>
      </c>
      <c r="E485" s="59" t="s">
        <v>1282</v>
      </c>
      <c r="F485" s="55" t="s">
        <v>571</v>
      </c>
      <c r="G485" s="55" t="s">
        <v>604</v>
      </c>
      <c r="H485" t="s">
        <v>638</v>
      </c>
      <c r="I485" t="s">
        <v>638</v>
      </c>
      <c r="J485">
        <v>0</v>
      </c>
      <c r="K485" s="60">
        <v>44008000100</v>
      </c>
      <c r="L485" s="60" t="s">
        <v>729</v>
      </c>
      <c r="M485" s="57">
        <v>0</v>
      </c>
      <c r="N485" s="57">
        <v>200</v>
      </c>
      <c r="O485" s="57">
        <v>0</v>
      </c>
      <c r="Q485">
        <v>550</v>
      </c>
      <c r="R485" t="s">
        <v>1037</v>
      </c>
      <c r="T485" s="57">
        <v>0</v>
      </c>
      <c r="U485" s="57">
        <v>200</v>
      </c>
      <c r="V485" s="57">
        <v>0</v>
      </c>
    </row>
    <row r="486" spans="1:22" ht="15.75" customHeight="1" x14ac:dyDescent="0.3">
      <c r="A486" s="57" t="s">
        <v>571</v>
      </c>
      <c r="B486" s="57" t="s">
        <v>604</v>
      </c>
      <c r="C486" s="58" t="s">
        <v>1277</v>
      </c>
      <c r="D486" s="58" t="s">
        <v>1283</v>
      </c>
      <c r="E486" s="59" t="s">
        <v>1284</v>
      </c>
      <c r="F486" s="55" t="s">
        <v>571</v>
      </c>
      <c r="G486" s="55" t="s">
        <v>604</v>
      </c>
      <c r="H486" s="61">
        <v>0</v>
      </c>
      <c r="I486" s="61">
        <v>0</v>
      </c>
      <c r="J486" s="61">
        <v>0</v>
      </c>
      <c r="K486" s="76">
        <v>44008000054</v>
      </c>
      <c r="L486" s="77" t="s">
        <v>730</v>
      </c>
      <c r="M486" s="57">
        <v>0</v>
      </c>
      <c r="N486" s="57">
        <v>0</v>
      </c>
      <c r="O486" s="57">
        <v>0</v>
      </c>
      <c r="Q486">
        <v>550</v>
      </c>
      <c r="R486" t="s">
        <v>1038</v>
      </c>
      <c r="T486" s="57">
        <v>0</v>
      </c>
      <c r="U486" s="57">
        <v>0</v>
      </c>
      <c r="V486" s="57">
        <v>0</v>
      </c>
    </row>
    <row r="487" spans="1:22" ht="15.75" customHeight="1" x14ac:dyDescent="0.3">
      <c r="A487" s="57" t="s">
        <v>571</v>
      </c>
      <c r="B487" s="57" t="s">
        <v>604</v>
      </c>
      <c r="C487" s="58" t="s">
        <v>1277</v>
      </c>
      <c r="D487" s="58" t="s">
        <v>1123</v>
      </c>
      <c r="E487" s="59" t="s">
        <v>1286</v>
      </c>
      <c r="F487" s="55" t="s">
        <v>571</v>
      </c>
      <c r="G487" s="55" t="s">
        <v>604</v>
      </c>
      <c r="H487" t="s">
        <v>731</v>
      </c>
      <c r="I487" t="s">
        <v>731</v>
      </c>
      <c r="J487">
        <v>0</v>
      </c>
      <c r="K487" s="60">
        <v>44003000001</v>
      </c>
      <c r="L487" s="60" t="s">
        <v>732</v>
      </c>
      <c r="M487" s="57">
        <v>1256463.98</v>
      </c>
      <c r="N487" s="57">
        <v>934904.78</v>
      </c>
      <c r="O487" s="57">
        <v>1010480.02</v>
      </c>
      <c r="Q487">
        <v>560</v>
      </c>
      <c r="R487" t="s">
        <v>1039</v>
      </c>
      <c r="T487" s="57">
        <v>1256463.98</v>
      </c>
      <c r="U487" s="57">
        <v>934904.78</v>
      </c>
      <c r="V487" s="57">
        <v>1010480.02</v>
      </c>
    </row>
    <row r="488" spans="1:22" ht="15.75" customHeight="1" x14ac:dyDescent="0.3">
      <c r="A488" s="57" t="s">
        <v>571</v>
      </c>
      <c r="B488" s="57" t="s">
        <v>604</v>
      </c>
      <c r="C488" s="58" t="s">
        <v>1277</v>
      </c>
      <c r="D488" s="58" t="s">
        <v>1123</v>
      </c>
      <c r="E488" s="59" t="s">
        <v>1286</v>
      </c>
      <c r="F488" s="55" t="s">
        <v>571</v>
      </c>
      <c r="G488" s="55" t="s">
        <v>604</v>
      </c>
      <c r="H488" t="s">
        <v>731</v>
      </c>
      <c r="I488" t="s">
        <v>731</v>
      </c>
      <c r="J488">
        <v>0</v>
      </c>
      <c r="K488" s="60">
        <v>44003000002</v>
      </c>
      <c r="L488" s="60" t="s">
        <v>733</v>
      </c>
      <c r="M488" s="57">
        <v>377774.13</v>
      </c>
      <c r="N488" s="57">
        <v>289311.7</v>
      </c>
      <c r="O488" s="57">
        <v>303582.81</v>
      </c>
      <c r="Q488">
        <v>560</v>
      </c>
      <c r="R488" t="s">
        <v>1040</v>
      </c>
      <c r="T488" s="57">
        <v>377774.13</v>
      </c>
      <c r="U488" s="57">
        <v>289311.7</v>
      </c>
      <c r="V488" s="57">
        <v>303582.81</v>
      </c>
    </row>
    <row r="489" spans="1:22" ht="15.75" customHeight="1" x14ac:dyDescent="0.3">
      <c r="A489" s="57" t="s">
        <v>571</v>
      </c>
      <c r="B489" s="57" t="s">
        <v>604</v>
      </c>
      <c r="C489" s="58" t="s">
        <v>1277</v>
      </c>
      <c r="D489" s="58" t="s">
        <v>1123</v>
      </c>
      <c r="E489" s="59" t="s">
        <v>1286</v>
      </c>
      <c r="F489" s="55" t="s">
        <v>571</v>
      </c>
      <c r="G489" s="55" t="s">
        <v>604</v>
      </c>
      <c r="H489" t="s">
        <v>731</v>
      </c>
      <c r="I489" t="s">
        <v>731</v>
      </c>
      <c r="J489">
        <v>0</v>
      </c>
      <c r="K489" s="60">
        <v>44003000003</v>
      </c>
      <c r="L489" s="60" t="s">
        <v>734</v>
      </c>
      <c r="M489" s="57">
        <v>79885.47</v>
      </c>
      <c r="N489" s="57">
        <v>66924.62</v>
      </c>
      <c r="O489" s="57">
        <v>72776.22</v>
      </c>
      <c r="Q489">
        <v>560</v>
      </c>
      <c r="R489" t="s">
        <v>1041</v>
      </c>
      <c r="T489" s="57">
        <v>79885.47</v>
      </c>
      <c r="U489" s="57">
        <v>66924.62</v>
      </c>
      <c r="V489" s="57">
        <v>72776.22</v>
      </c>
    </row>
    <row r="490" spans="1:22" ht="15.75" customHeight="1" x14ac:dyDescent="0.3">
      <c r="A490" s="57" t="s">
        <v>571</v>
      </c>
      <c r="B490" s="57" t="s">
        <v>604</v>
      </c>
      <c r="C490" s="58" t="s">
        <v>1277</v>
      </c>
      <c r="D490" s="58" t="s">
        <v>1123</v>
      </c>
      <c r="E490" s="59" t="s">
        <v>1286</v>
      </c>
      <c r="F490" s="55" t="s">
        <v>571</v>
      </c>
      <c r="G490" s="55" t="s">
        <v>604</v>
      </c>
      <c r="H490" t="s">
        <v>731</v>
      </c>
      <c r="I490" t="s">
        <v>731</v>
      </c>
      <c r="J490">
        <v>0</v>
      </c>
      <c r="K490" s="60">
        <v>44003000004</v>
      </c>
      <c r="L490" s="60" t="s">
        <v>735</v>
      </c>
      <c r="M490" s="57">
        <v>45452.46</v>
      </c>
      <c r="N490" s="57">
        <v>31221.79</v>
      </c>
      <c r="O490" s="57">
        <v>33149.910000000003</v>
      </c>
      <c r="Q490">
        <v>560</v>
      </c>
      <c r="R490" t="s">
        <v>1040</v>
      </c>
      <c r="T490" s="57">
        <v>45452.46</v>
      </c>
      <c r="U490" s="57">
        <v>31221.79</v>
      </c>
      <c r="V490" s="57">
        <v>33149.910000000003</v>
      </c>
    </row>
    <row r="491" spans="1:22" ht="15.75" customHeight="1" x14ac:dyDescent="0.3">
      <c r="A491" s="57" t="s">
        <v>571</v>
      </c>
      <c r="B491" s="57" t="s">
        <v>604</v>
      </c>
      <c r="C491" s="58" t="s">
        <v>1277</v>
      </c>
      <c r="D491" s="58" t="s">
        <v>1123</v>
      </c>
      <c r="E491" s="59" t="s">
        <v>1286</v>
      </c>
      <c r="F491" s="55" t="s">
        <v>571</v>
      </c>
      <c r="G491" s="55" t="s">
        <v>604</v>
      </c>
      <c r="H491" t="s">
        <v>731</v>
      </c>
      <c r="I491" t="s">
        <v>731</v>
      </c>
      <c r="J491">
        <v>0</v>
      </c>
      <c r="K491" s="60">
        <v>44003000005</v>
      </c>
      <c r="L491" s="60" t="s">
        <v>736</v>
      </c>
      <c r="M491" s="57">
        <v>65453.120000000003</v>
      </c>
      <c r="N491" s="57">
        <v>152997.01</v>
      </c>
      <c r="O491" s="57">
        <v>147484.76999999999</v>
      </c>
      <c r="Q491">
        <v>560</v>
      </c>
      <c r="R491" t="s">
        <v>1039</v>
      </c>
      <c r="T491" s="57">
        <v>65453.120000000003</v>
      </c>
      <c r="U491" s="57">
        <v>152997.01</v>
      </c>
      <c r="V491" s="57">
        <v>147484.76999999999</v>
      </c>
    </row>
    <row r="492" spans="1:22" ht="15.75" customHeight="1" x14ac:dyDescent="0.3">
      <c r="A492" s="57" t="s">
        <v>571</v>
      </c>
      <c r="B492" s="57" t="s">
        <v>604</v>
      </c>
      <c r="C492" s="58" t="s">
        <v>1277</v>
      </c>
      <c r="D492" s="58" t="s">
        <v>1123</v>
      </c>
      <c r="E492" s="59" t="s">
        <v>1286</v>
      </c>
      <c r="F492" s="55" t="s">
        <v>571</v>
      </c>
      <c r="G492" s="55" t="s">
        <v>604</v>
      </c>
      <c r="H492" t="s">
        <v>731</v>
      </c>
      <c r="I492" t="s">
        <v>731</v>
      </c>
      <c r="J492">
        <v>0</v>
      </c>
      <c r="K492" s="60">
        <v>44003000006</v>
      </c>
      <c r="L492" s="60" t="s">
        <v>737</v>
      </c>
      <c r="M492" s="57">
        <v>7163.41</v>
      </c>
      <c r="N492" s="57">
        <v>16995.310000000001</v>
      </c>
      <c r="O492" s="57">
        <v>28926.22</v>
      </c>
      <c r="Q492">
        <v>560</v>
      </c>
      <c r="R492" t="s">
        <v>1040</v>
      </c>
      <c r="T492" s="57">
        <v>7163.41</v>
      </c>
      <c r="U492" s="57">
        <v>16995.310000000001</v>
      </c>
      <c r="V492" s="57">
        <v>28926.22</v>
      </c>
    </row>
    <row r="493" spans="1:22" ht="15.75" customHeight="1" x14ac:dyDescent="0.3">
      <c r="A493" s="57" t="s">
        <v>571</v>
      </c>
      <c r="B493" s="57" t="s">
        <v>604</v>
      </c>
      <c r="C493" s="58" t="s">
        <v>1277</v>
      </c>
      <c r="D493" s="58" t="s">
        <v>1123</v>
      </c>
      <c r="E493" s="59" t="s">
        <v>1286</v>
      </c>
      <c r="F493" s="55" t="s">
        <v>571</v>
      </c>
      <c r="G493" s="55" t="s">
        <v>604</v>
      </c>
      <c r="H493" t="s">
        <v>731</v>
      </c>
      <c r="I493" t="s">
        <v>731</v>
      </c>
      <c r="J493">
        <v>0</v>
      </c>
      <c r="K493" s="60">
        <v>44003000007</v>
      </c>
      <c r="L493" s="60" t="s">
        <v>738</v>
      </c>
      <c r="M493" s="57">
        <v>1900.05</v>
      </c>
      <c r="N493" s="57">
        <v>9543.06</v>
      </c>
      <c r="O493" s="57">
        <v>11646.14</v>
      </c>
      <c r="Q493">
        <v>560</v>
      </c>
      <c r="R493" t="s">
        <v>1041</v>
      </c>
      <c r="T493" s="57">
        <v>1900.05</v>
      </c>
      <c r="U493" s="57">
        <v>9543.06</v>
      </c>
      <c r="V493" s="57">
        <v>11646.14</v>
      </c>
    </row>
    <row r="494" spans="1:22" ht="15.75" customHeight="1" x14ac:dyDescent="0.3">
      <c r="A494" s="57" t="s">
        <v>571</v>
      </c>
      <c r="B494" s="57" t="s">
        <v>604</v>
      </c>
      <c r="C494" s="58" t="s">
        <v>1277</v>
      </c>
      <c r="D494" s="58" t="s">
        <v>1123</v>
      </c>
      <c r="E494" s="59" t="s">
        <v>1286</v>
      </c>
      <c r="F494" s="55" t="s">
        <v>571</v>
      </c>
      <c r="G494" s="55" t="s">
        <v>604</v>
      </c>
      <c r="H494" t="s">
        <v>731</v>
      </c>
      <c r="I494" t="s">
        <v>731</v>
      </c>
      <c r="J494">
        <v>0</v>
      </c>
      <c r="K494" s="60">
        <v>44003000010</v>
      </c>
      <c r="L494" s="60" t="s">
        <v>739</v>
      </c>
      <c r="M494" s="57">
        <v>19081.419999999998</v>
      </c>
      <c r="N494" s="57">
        <v>122320.05</v>
      </c>
      <c r="O494" s="57">
        <v>105340.45</v>
      </c>
      <c r="Q494">
        <v>560</v>
      </c>
      <c r="R494" t="s">
        <v>1039</v>
      </c>
      <c r="T494" s="57">
        <v>19081.419999999998</v>
      </c>
      <c r="U494" s="57">
        <v>122320.05</v>
      </c>
      <c r="V494" s="57">
        <v>105340.45</v>
      </c>
    </row>
    <row r="495" spans="1:22" ht="15.75" customHeight="1" x14ac:dyDescent="0.3">
      <c r="A495" s="57" t="s">
        <v>571</v>
      </c>
      <c r="B495" s="57" t="s">
        <v>604</v>
      </c>
      <c r="C495" s="58" t="s">
        <v>1277</v>
      </c>
      <c r="D495" s="58" t="s">
        <v>1123</v>
      </c>
      <c r="E495" s="59" t="s">
        <v>1286</v>
      </c>
      <c r="F495" s="55" t="s">
        <v>571</v>
      </c>
      <c r="G495" s="55" t="s">
        <v>604</v>
      </c>
      <c r="H495" t="s">
        <v>731</v>
      </c>
      <c r="I495" t="s">
        <v>731</v>
      </c>
      <c r="J495">
        <v>0</v>
      </c>
      <c r="K495" s="60">
        <v>44003000011</v>
      </c>
      <c r="L495" s="60" t="s">
        <v>740</v>
      </c>
      <c r="M495" s="57">
        <v>0</v>
      </c>
      <c r="N495" s="57">
        <v>1582.5</v>
      </c>
      <c r="O495" s="57">
        <v>5364.29</v>
      </c>
      <c r="Q495">
        <v>560</v>
      </c>
      <c r="R495" t="s">
        <v>1040</v>
      </c>
      <c r="T495" s="57">
        <v>0</v>
      </c>
      <c r="U495" s="57">
        <v>1582.5</v>
      </c>
      <c r="V495" s="57">
        <v>5364.29</v>
      </c>
    </row>
    <row r="496" spans="1:22" ht="15.75" customHeight="1" x14ac:dyDescent="0.3">
      <c r="A496" s="57" t="s">
        <v>571</v>
      </c>
      <c r="B496" s="57" t="s">
        <v>604</v>
      </c>
      <c r="C496" s="58" t="s">
        <v>1277</v>
      </c>
      <c r="D496" s="58" t="s">
        <v>1123</v>
      </c>
      <c r="E496" s="59" t="s">
        <v>1286</v>
      </c>
      <c r="F496" s="55" t="s">
        <v>571</v>
      </c>
      <c r="G496" s="55" t="s">
        <v>604</v>
      </c>
      <c r="H496" t="s">
        <v>731</v>
      </c>
      <c r="I496" t="s">
        <v>731</v>
      </c>
      <c r="J496">
        <v>0</v>
      </c>
      <c r="K496" s="60">
        <v>44003000012</v>
      </c>
      <c r="L496" s="60" t="s">
        <v>741</v>
      </c>
      <c r="M496" s="57">
        <v>5745.1</v>
      </c>
      <c r="N496" s="57">
        <v>32251.599999999999</v>
      </c>
      <c r="O496" s="57">
        <v>13017.23</v>
      </c>
      <c r="Q496">
        <v>560</v>
      </c>
      <c r="R496" t="s">
        <v>1040</v>
      </c>
      <c r="T496" s="57">
        <v>5745.1</v>
      </c>
      <c r="U496" s="57">
        <v>32251.599999999999</v>
      </c>
      <c r="V496" s="57">
        <v>13017.23</v>
      </c>
    </row>
    <row r="497" spans="1:22" ht="15.75" customHeight="1" x14ac:dyDescent="0.3">
      <c r="A497" s="57" t="s">
        <v>571</v>
      </c>
      <c r="B497" s="57" t="s">
        <v>604</v>
      </c>
      <c r="C497" s="58" t="s">
        <v>1277</v>
      </c>
      <c r="D497" s="58" t="s">
        <v>1123</v>
      </c>
      <c r="E497" s="59" t="s">
        <v>1286</v>
      </c>
      <c r="F497" s="55" t="s">
        <v>571</v>
      </c>
      <c r="G497" s="55" t="s">
        <v>604</v>
      </c>
      <c r="H497" t="s">
        <v>731</v>
      </c>
      <c r="I497" t="s">
        <v>731</v>
      </c>
      <c r="J497">
        <v>0</v>
      </c>
      <c r="K497" s="60">
        <v>44003000013</v>
      </c>
      <c r="L497" s="60" t="s">
        <v>742</v>
      </c>
      <c r="M497" s="57">
        <v>6540.03</v>
      </c>
      <c r="N497" s="57">
        <v>6987.25</v>
      </c>
      <c r="O497" s="57">
        <v>4661.75</v>
      </c>
      <c r="Q497">
        <v>560</v>
      </c>
      <c r="R497" t="s">
        <v>1041</v>
      </c>
      <c r="T497" s="57">
        <v>6540.03</v>
      </c>
      <c r="U497" s="57">
        <v>6987.25</v>
      </c>
      <c r="V497" s="57">
        <v>4661.75</v>
      </c>
    </row>
    <row r="498" spans="1:22" ht="15.75" customHeight="1" x14ac:dyDescent="0.3">
      <c r="A498" s="57" t="s">
        <v>571</v>
      </c>
      <c r="B498" s="57" t="s">
        <v>604</v>
      </c>
      <c r="C498" s="58" t="s">
        <v>1277</v>
      </c>
      <c r="D498" s="58" t="s">
        <v>1123</v>
      </c>
      <c r="E498" s="59" t="s">
        <v>1286</v>
      </c>
      <c r="F498" s="55" t="s">
        <v>571</v>
      </c>
      <c r="G498" s="55" t="s">
        <v>604</v>
      </c>
      <c r="H498" t="s">
        <v>731</v>
      </c>
      <c r="I498" t="s">
        <v>731</v>
      </c>
      <c r="J498">
        <v>0</v>
      </c>
      <c r="K498" s="60">
        <v>44007000009</v>
      </c>
      <c r="L498" s="60" t="s">
        <v>738</v>
      </c>
      <c r="M498" s="57">
        <v>1509.93</v>
      </c>
      <c r="N498" s="57">
        <v>0</v>
      </c>
      <c r="O498" s="57">
        <v>0</v>
      </c>
      <c r="Q498">
        <v>560</v>
      </c>
      <c r="R498" t="s">
        <v>1041</v>
      </c>
      <c r="T498" s="57">
        <v>1509.93</v>
      </c>
      <c r="U498" s="57">
        <v>0</v>
      </c>
      <c r="V498" s="57">
        <v>0</v>
      </c>
    </row>
    <row r="499" spans="1:22" ht="15.75" customHeight="1" x14ac:dyDescent="0.3">
      <c r="A499" s="57" t="s">
        <v>571</v>
      </c>
      <c r="B499" s="57" t="s">
        <v>604</v>
      </c>
      <c r="C499" s="58" t="s">
        <v>1277</v>
      </c>
      <c r="D499" s="58" t="s">
        <v>1123</v>
      </c>
      <c r="E499" s="59" t="s">
        <v>1286</v>
      </c>
      <c r="F499" s="55" t="s">
        <v>571</v>
      </c>
      <c r="G499" s="55" t="s">
        <v>604</v>
      </c>
      <c r="H499" t="s">
        <v>731</v>
      </c>
      <c r="I499" t="s">
        <v>731</v>
      </c>
      <c r="J499">
        <v>0</v>
      </c>
      <c r="K499" s="60">
        <v>44003000014</v>
      </c>
      <c r="L499" s="60" t="s">
        <v>743</v>
      </c>
      <c r="M499" s="57">
        <v>1077.25</v>
      </c>
      <c r="N499" s="57">
        <v>1164.99</v>
      </c>
      <c r="O499" s="57">
        <v>2233.27</v>
      </c>
      <c r="Q499">
        <v>560</v>
      </c>
      <c r="R499" t="s">
        <v>1040</v>
      </c>
      <c r="T499" s="57">
        <v>1077.25</v>
      </c>
      <c r="U499" s="57">
        <v>1164.99</v>
      </c>
      <c r="V499" s="57">
        <v>2233.27</v>
      </c>
    </row>
    <row r="500" spans="1:22" ht="15.75" customHeight="1" x14ac:dyDescent="0.3">
      <c r="A500" s="57" t="s">
        <v>571</v>
      </c>
      <c r="B500" s="57" t="s">
        <v>604</v>
      </c>
      <c r="C500" s="58" t="s">
        <v>1277</v>
      </c>
      <c r="D500" s="58" t="s">
        <v>1123</v>
      </c>
      <c r="E500" s="59" t="s">
        <v>1286</v>
      </c>
      <c r="F500" s="55" t="s">
        <v>571</v>
      </c>
      <c r="G500" s="55" t="s">
        <v>604</v>
      </c>
      <c r="H500" t="s">
        <v>731</v>
      </c>
      <c r="I500" t="s">
        <v>731</v>
      </c>
      <c r="J500">
        <v>0</v>
      </c>
      <c r="K500" s="60">
        <v>44003000020</v>
      </c>
      <c r="L500" s="60" t="s">
        <v>744</v>
      </c>
      <c r="M500" s="57">
        <v>0</v>
      </c>
      <c r="N500" s="57">
        <v>1522.5</v>
      </c>
      <c r="O500" s="57">
        <v>125</v>
      </c>
      <c r="Q500">
        <v>560</v>
      </c>
      <c r="R500" t="s">
        <v>1040</v>
      </c>
      <c r="T500" s="57">
        <v>0</v>
      </c>
      <c r="U500" s="57">
        <v>1522.5</v>
      </c>
      <c r="V500" s="57">
        <v>125</v>
      </c>
    </row>
    <row r="501" spans="1:22" ht="15.75" customHeight="1" x14ac:dyDescent="0.3">
      <c r="A501" s="57" t="s">
        <v>571</v>
      </c>
      <c r="B501" s="57" t="s">
        <v>604</v>
      </c>
      <c r="C501" s="58" t="s">
        <v>1277</v>
      </c>
      <c r="D501" s="58" t="s">
        <v>1123</v>
      </c>
      <c r="E501" s="59" t="s">
        <v>1286</v>
      </c>
      <c r="F501" s="55" t="s">
        <v>571</v>
      </c>
      <c r="G501" s="55" t="s">
        <v>604</v>
      </c>
      <c r="H501" t="s">
        <v>731</v>
      </c>
      <c r="I501" t="s">
        <v>731</v>
      </c>
      <c r="J501">
        <v>0</v>
      </c>
      <c r="K501" s="60">
        <v>44007000001</v>
      </c>
      <c r="L501" s="60" t="s">
        <v>745</v>
      </c>
      <c r="M501" s="57">
        <v>751914.03</v>
      </c>
      <c r="N501" s="57">
        <v>751846.34</v>
      </c>
      <c r="O501" s="57">
        <v>822299.79</v>
      </c>
      <c r="Q501">
        <v>560</v>
      </c>
      <c r="R501" t="s">
        <v>1039</v>
      </c>
      <c r="T501" s="57">
        <v>751914.03</v>
      </c>
      <c r="U501" s="57">
        <v>751846.34</v>
      </c>
      <c r="V501" s="57">
        <v>822299.79</v>
      </c>
    </row>
    <row r="502" spans="1:22" ht="15.75" customHeight="1" x14ac:dyDescent="0.3">
      <c r="A502" s="57" t="s">
        <v>571</v>
      </c>
      <c r="B502" s="57" t="s">
        <v>604</v>
      </c>
      <c r="C502" s="58" t="s">
        <v>1277</v>
      </c>
      <c r="D502" s="58" t="s">
        <v>1123</v>
      </c>
      <c r="E502" s="59" t="s">
        <v>1286</v>
      </c>
      <c r="F502" s="55" t="s">
        <v>571</v>
      </c>
      <c r="G502" s="55" t="s">
        <v>604</v>
      </c>
      <c r="H502" t="s">
        <v>731</v>
      </c>
      <c r="I502" t="s">
        <v>731</v>
      </c>
      <c r="J502">
        <v>0</v>
      </c>
      <c r="K502" s="60">
        <v>44007000002</v>
      </c>
      <c r="L502" s="60" t="s">
        <v>746</v>
      </c>
      <c r="M502" s="57">
        <v>206526.96</v>
      </c>
      <c r="N502" s="57">
        <v>202451.78</v>
      </c>
      <c r="O502" s="57">
        <v>215469.07</v>
      </c>
      <c r="Q502">
        <v>560</v>
      </c>
      <c r="R502" t="s">
        <v>1040</v>
      </c>
      <c r="T502" s="57">
        <v>206526.96</v>
      </c>
      <c r="U502" s="57">
        <v>202451.78</v>
      </c>
      <c r="V502" s="57">
        <v>215469.07</v>
      </c>
    </row>
    <row r="503" spans="1:22" ht="15.75" customHeight="1" x14ac:dyDescent="0.3">
      <c r="A503" s="57" t="s">
        <v>571</v>
      </c>
      <c r="B503" s="57" t="s">
        <v>604</v>
      </c>
      <c r="C503" s="58" t="s">
        <v>1277</v>
      </c>
      <c r="D503" s="58" t="s">
        <v>1123</v>
      </c>
      <c r="E503" s="59" t="s">
        <v>1286</v>
      </c>
      <c r="F503" s="55" t="s">
        <v>571</v>
      </c>
      <c r="G503" s="55" t="s">
        <v>604</v>
      </c>
      <c r="H503" t="s">
        <v>731</v>
      </c>
      <c r="I503" t="s">
        <v>731</v>
      </c>
      <c r="J503">
        <v>0</v>
      </c>
      <c r="K503" s="60">
        <v>44007000003</v>
      </c>
      <c r="L503" s="60" t="s">
        <v>747</v>
      </c>
      <c r="M503" s="57">
        <v>3706.8</v>
      </c>
      <c r="N503" s="57">
        <v>3350.67</v>
      </c>
      <c r="O503" s="57">
        <v>4319.71</v>
      </c>
      <c r="Q503">
        <v>560</v>
      </c>
      <c r="R503" t="s">
        <v>1040</v>
      </c>
      <c r="T503" s="57">
        <v>3706.8</v>
      </c>
      <c r="U503" s="57">
        <v>3350.67</v>
      </c>
      <c r="V503" s="57">
        <v>4319.71</v>
      </c>
    </row>
    <row r="504" spans="1:22" ht="15.75" customHeight="1" x14ac:dyDescent="0.3">
      <c r="A504" s="57" t="s">
        <v>571</v>
      </c>
      <c r="B504" s="57" t="s">
        <v>604</v>
      </c>
      <c r="C504" s="58" t="s">
        <v>1277</v>
      </c>
      <c r="D504" s="58" t="s">
        <v>1123</v>
      </c>
      <c r="E504" s="59" t="s">
        <v>1286</v>
      </c>
      <c r="F504" s="55" t="s">
        <v>571</v>
      </c>
      <c r="G504" s="55" t="s">
        <v>604</v>
      </c>
      <c r="H504" t="s">
        <v>731</v>
      </c>
      <c r="I504" t="s">
        <v>731</v>
      </c>
      <c r="J504">
        <v>0</v>
      </c>
      <c r="K504" s="60">
        <v>44007000004</v>
      </c>
      <c r="L504" s="60" t="s">
        <v>748</v>
      </c>
      <c r="M504" s="57">
        <v>46322.32</v>
      </c>
      <c r="N504" s="57">
        <v>50273.14</v>
      </c>
      <c r="O504" s="57">
        <v>55671.5</v>
      </c>
      <c r="Q504">
        <v>560</v>
      </c>
      <c r="R504" t="s">
        <v>1041</v>
      </c>
      <c r="T504" s="57">
        <v>46322.32</v>
      </c>
      <c r="U504" s="57">
        <v>50273.14</v>
      </c>
      <c r="V504" s="57">
        <v>55671.5</v>
      </c>
    </row>
    <row r="505" spans="1:22" ht="15.75" customHeight="1" x14ac:dyDescent="0.3">
      <c r="A505" s="57" t="s">
        <v>571</v>
      </c>
      <c r="B505" s="57" t="s">
        <v>604</v>
      </c>
      <c r="C505" s="58" t="s">
        <v>1277</v>
      </c>
      <c r="D505" s="58" t="s">
        <v>1123</v>
      </c>
      <c r="E505" s="59" t="s">
        <v>1286</v>
      </c>
      <c r="F505" s="55" t="s">
        <v>571</v>
      </c>
      <c r="G505" s="55" t="s">
        <v>604</v>
      </c>
      <c r="H505" t="s">
        <v>731</v>
      </c>
      <c r="I505" t="s">
        <v>731</v>
      </c>
      <c r="J505">
        <v>0</v>
      </c>
      <c r="K505" s="60">
        <v>44007000006</v>
      </c>
      <c r="L505" s="60" t="s">
        <v>749</v>
      </c>
      <c r="M505" s="57">
        <v>23763.439999999999</v>
      </c>
      <c r="N505" s="57">
        <v>25233.83</v>
      </c>
      <c r="O505" s="57">
        <v>2010.86</v>
      </c>
      <c r="Q505">
        <v>560</v>
      </c>
      <c r="R505" t="s">
        <v>1039</v>
      </c>
      <c r="T505" s="57">
        <v>23763.439999999999</v>
      </c>
      <c r="U505" s="57">
        <v>25233.83</v>
      </c>
      <c r="V505" s="57">
        <v>2010.86</v>
      </c>
    </row>
    <row r="506" spans="1:22" ht="15.75" customHeight="1" x14ac:dyDescent="0.3">
      <c r="A506" s="57" t="s">
        <v>571</v>
      </c>
      <c r="B506" s="57" t="s">
        <v>604</v>
      </c>
      <c r="C506" s="58" t="s">
        <v>1277</v>
      </c>
      <c r="D506" s="58" t="s">
        <v>1123</v>
      </c>
      <c r="E506" s="59" t="s">
        <v>1286</v>
      </c>
      <c r="F506" s="55" t="s">
        <v>571</v>
      </c>
      <c r="G506" s="55" t="s">
        <v>604</v>
      </c>
      <c r="H506" t="s">
        <v>731</v>
      </c>
      <c r="I506" t="s">
        <v>731</v>
      </c>
      <c r="J506">
        <v>0</v>
      </c>
      <c r="K506" s="60">
        <v>44007000007</v>
      </c>
      <c r="L506" s="60" t="s">
        <v>750</v>
      </c>
      <c r="M506" s="57">
        <v>2741.73</v>
      </c>
      <c r="N506" s="57">
        <v>2604.19</v>
      </c>
      <c r="O506" s="57">
        <v>712.96</v>
      </c>
      <c r="Q506">
        <v>560</v>
      </c>
      <c r="R506" t="s">
        <v>1040</v>
      </c>
      <c r="T506" s="57">
        <v>2741.73</v>
      </c>
      <c r="U506" s="57">
        <v>2604.19</v>
      </c>
      <c r="V506" s="57">
        <v>712.96</v>
      </c>
    </row>
    <row r="507" spans="1:22" ht="15.75" customHeight="1" x14ac:dyDescent="0.3">
      <c r="A507" s="57" t="s">
        <v>571</v>
      </c>
      <c r="B507" s="57" t="s">
        <v>604</v>
      </c>
      <c r="C507" s="58" t="s">
        <v>1277</v>
      </c>
      <c r="D507" s="58" t="s">
        <v>1123</v>
      </c>
      <c r="E507" s="59" t="s">
        <v>1286</v>
      </c>
      <c r="F507" s="55" t="s">
        <v>571</v>
      </c>
      <c r="G507" s="55" t="s">
        <v>604</v>
      </c>
      <c r="H507" t="s">
        <v>731</v>
      </c>
      <c r="I507" t="s">
        <v>731</v>
      </c>
      <c r="J507">
        <v>0</v>
      </c>
      <c r="K507" s="60">
        <v>44007000008</v>
      </c>
      <c r="L507" s="60" t="s">
        <v>751</v>
      </c>
      <c r="M507" s="57">
        <v>1299.3900000000001</v>
      </c>
      <c r="N507" s="57">
        <v>902.73</v>
      </c>
      <c r="O507" s="57">
        <v>1110.78</v>
      </c>
      <c r="Q507">
        <v>560</v>
      </c>
      <c r="R507" t="s">
        <v>1040</v>
      </c>
      <c r="T507" s="57">
        <v>1299.3900000000001</v>
      </c>
      <c r="U507" s="57">
        <v>902.73</v>
      </c>
      <c r="V507" s="57">
        <v>1110.78</v>
      </c>
    </row>
    <row r="508" spans="1:22" ht="15.75" customHeight="1" x14ac:dyDescent="0.3">
      <c r="A508" s="57" t="s">
        <v>571</v>
      </c>
      <c r="B508" s="57" t="s">
        <v>604</v>
      </c>
      <c r="C508" s="58" t="s">
        <v>1277</v>
      </c>
      <c r="D508" s="58" t="s">
        <v>1123</v>
      </c>
      <c r="E508" s="59" t="s">
        <v>1286</v>
      </c>
      <c r="F508" s="55" t="s">
        <v>571</v>
      </c>
      <c r="G508" s="55" t="s">
        <v>604</v>
      </c>
      <c r="H508" t="s">
        <v>731</v>
      </c>
      <c r="I508" t="s">
        <v>731</v>
      </c>
      <c r="J508">
        <v>0</v>
      </c>
      <c r="K508" s="60">
        <v>44007000010</v>
      </c>
      <c r="L508" s="60" t="s">
        <v>752</v>
      </c>
      <c r="M508" s="57">
        <v>0</v>
      </c>
      <c r="N508" s="57">
        <v>0</v>
      </c>
      <c r="O508" s="57">
        <v>4550</v>
      </c>
      <c r="Q508">
        <v>560</v>
      </c>
      <c r="R508" t="s">
        <v>1039</v>
      </c>
      <c r="T508" s="57">
        <v>0</v>
      </c>
      <c r="U508" s="57">
        <v>0</v>
      </c>
      <c r="V508" s="57">
        <v>4550</v>
      </c>
    </row>
    <row r="509" spans="1:22" ht="15.75" customHeight="1" x14ac:dyDescent="0.3">
      <c r="A509" s="57" t="s">
        <v>571</v>
      </c>
      <c r="B509" s="57" t="s">
        <v>604</v>
      </c>
      <c r="C509" s="58" t="s">
        <v>1277</v>
      </c>
      <c r="D509" s="58" t="s">
        <v>1123</v>
      </c>
      <c r="E509" s="59" t="s">
        <v>1286</v>
      </c>
      <c r="F509" s="55" t="s">
        <v>571</v>
      </c>
      <c r="G509" s="55" t="s">
        <v>604</v>
      </c>
      <c r="H509" t="s">
        <v>731</v>
      </c>
      <c r="I509" t="s">
        <v>731</v>
      </c>
      <c r="J509">
        <v>0</v>
      </c>
      <c r="K509" s="60">
        <v>44007000011</v>
      </c>
      <c r="L509" s="60" t="s">
        <v>753</v>
      </c>
      <c r="M509" s="57">
        <v>0</v>
      </c>
      <c r="N509" s="57">
        <v>2017.45</v>
      </c>
      <c r="O509" s="57">
        <v>34866.85</v>
      </c>
      <c r="Q509">
        <v>560</v>
      </c>
      <c r="R509" t="s">
        <v>1039</v>
      </c>
      <c r="T509" s="57">
        <v>0</v>
      </c>
      <c r="U509" s="57">
        <v>2017.45</v>
      </c>
      <c r="V509" s="57">
        <v>34866.85</v>
      </c>
    </row>
    <row r="510" spans="1:22" ht="15.75" customHeight="1" x14ac:dyDescent="0.3">
      <c r="A510" s="57" t="s">
        <v>571</v>
      </c>
      <c r="B510" s="57" t="s">
        <v>604</v>
      </c>
      <c r="C510" s="58" t="s">
        <v>1277</v>
      </c>
      <c r="D510" s="58" t="s">
        <v>1123</v>
      </c>
      <c r="E510" s="59" t="s">
        <v>1286</v>
      </c>
      <c r="F510" s="55" t="s">
        <v>571</v>
      </c>
      <c r="G510" s="55" t="s">
        <v>604</v>
      </c>
      <c r="H510" t="s">
        <v>731</v>
      </c>
      <c r="I510" t="s">
        <v>731</v>
      </c>
      <c r="J510">
        <v>0</v>
      </c>
      <c r="K510" s="60">
        <v>44004000040</v>
      </c>
      <c r="L510" s="60" t="s">
        <v>754</v>
      </c>
      <c r="M510" s="57">
        <v>0</v>
      </c>
      <c r="N510" s="57">
        <v>71534.92</v>
      </c>
      <c r="O510" s="57">
        <v>103951.2</v>
      </c>
      <c r="Q510">
        <v>560</v>
      </c>
      <c r="R510" t="s">
        <v>1039</v>
      </c>
      <c r="T510" s="57">
        <v>0</v>
      </c>
      <c r="U510" s="57">
        <v>71534.92</v>
      </c>
      <c r="V510" s="57">
        <v>103951.2</v>
      </c>
    </row>
    <row r="511" spans="1:22" ht="15.75" customHeight="1" x14ac:dyDescent="0.3">
      <c r="A511" s="57" t="s">
        <v>571</v>
      </c>
      <c r="B511" s="57" t="s">
        <v>604</v>
      </c>
      <c r="C511" s="58" t="s">
        <v>1277</v>
      </c>
      <c r="D511" s="58" t="s">
        <v>1123</v>
      </c>
      <c r="E511" s="59" t="s">
        <v>1286</v>
      </c>
      <c r="F511" s="55" t="s">
        <v>571</v>
      </c>
      <c r="G511" s="55" t="s">
        <v>604</v>
      </c>
      <c r="H511" t="s">
        <v>731</v>
      </c>
      <c r="I511" t="s">
        <v>731</v>
      </c>
      <c r="J511">
        <v>0</v>
      </c>
      <c r="K511" s="60">
        <v>44004000033</v>
      </c>
      <c r="L511" s="60" t="s">
        <v>755</v>
      </c>
      <c r="M511" s="57">
        <v>0</v>
      </c>
      <c r="N511" s="57">
        <v>4567.5</v>
      </c>
      <c r="O511" s="57">
        <v>375</v>
      </c>
      <c r="Q511">
        <v>560</v>
      </c>
      <c r="R511" t="s">
        <v>1039</v>
      </c>
      <c r="T511" s="57">
        <v>0</v>
      </c>
      <c r="U511" s="57">
        <v>4567.5</v>
      </c>
      <c r="V511" s="57">
        <v>375</v>
      </c>
    </row>
    <row r="512" spans="1:22" ht="15.75" customHeight="1" x14ac:dyDescent="0.3">
      <c r="A512" s="57" t="s">
        <v>571</v>
      </c>
      <c r="B512" s="57" t="s">
        <v>604</v>
      </c>
      <c r="C512" s="58" t="s">
        <v>1277</v>
      </c>
      <c r="D512" s="58" t="s">
        <v>1123</v>
      </c>
      <c r="E512" s="59" t="s">
        <v>1286</v>
      </c>
      <c r="F512" s="55" t="s">
        <v>571</v>
      </c>
      <c r="G512" s="55" t="s">
        <v>604</v>
      </c>
      <c r="H512" t="s">
        <v>731</v>
      </c>
      <c r="I512" t="s">
        <v>731</v>
      </c>
      <c r="J512">
        <v>0</v>
      </c>
      <c r="K512" s="76">
        <v>44003000015</v>
      </c>
      <c r="L512" s="77" t="s">
        <v>756</v>
      </c>
      <c r="M512" s="57">
        <v>16737.169999999998</v>
      </c>
      <c r="N512" s="57">
        <v>1445.06</v>
      </c>
      <c r="O512" s="57">
        <v>0</v>
      </c>
      <c r="Q512">
        <v>560</v>
      </c>
      <c r="R512" t="s">
        <v>1039</v>
      </c>
      <c r="T512" s="57">
        <v>16737.169999999998</v>
      </c>
      <c r="U512" s="57">
        <v>1445.06</v>
      </c>
      <c r="V512" s="57">
        <v>0</v>
      </c>
    </row>
    <row r="513" spans="1:22" ht="15.75" customHeight="1" x14ac:dyDescent="0.3">
      <c r="A513" s="57" t="s">
        <v>571</v>
      </c>
      <c r="B513" s="57" t="s">
        <v>604</v>
      </c>
      <c r="C513" s="58" t="s">
        <v>1277</v>
      </c>
      <c r="D513" s="58" t="s">
        <v>1123</v>
      </c>
      <c r="E513" s="59" t="s">
        <v>1286</v>
      </c>
      <c r="F513" s="55" t="s">
        <v>571</v>
      </c>
      <c r="G513" s="55" t="s">
        <v>604</v>
      </c>
      <c r="H513" t="s">
        <v>731</v>
      </c>
      <c r="I513" t="s">
        <v>731</v>
      </c>
      <c r="J513">
        <v>0</v>
      </c>
      <c r="K513" s="76">
        <v>44003000016</v>
      </c>
      <c r="L513" s="77" t="s">
        <v>757</v>
      </c>
      <c r="M513" s="57">
        <v>1407.66</v>
      </c>
      <c r="N513" s="57">
        <v>140.80000000000001</v>
      </c>
      <c r="O513" s="57">
        <v>0</v>
      </c>
      <c r="Q513">
        <v>560</v>
      </c>
      <c r="R513" t="s">
        <v>1040</v>
      </c>
      <c r="T513" s="57">
        <v>1407.66</v>
      </c>
      <c r="U513" s="57">
        <v>140.80000000000001</v>
      </c>
      <c r="V513" s="57">
        <v>0</v>
      </c>
    </row>
    <row r="514" spans="1:22" ht="15.75" customHeight="1" x14ac:dyDescent="0.3">
      <c r="A514" s="57" t="s">
        <v>571</v>
      </c>
      <c r="B514" s="57" t="s">
        <v>604</v>
      </c>
      <c r="C514" s="58" t="s">
        <v>1277</v>
      </c>
      <c r="D514" s="58" t="s">
        <v>1123</v>
      </c>
      <c r="E514" s="59" t="s">
        <v>1286</v>
      </c>
      <c r="F514" s="55" t="s">
        <v>571</v>
      </c>
      <c r="G514" s="55" t="s">
        <v>604</v>
      </c>
      <c r="H514" t="s">
        <v>731</v>
      </c>
      <c r="I514" t="s">
        <v>731</v>
      </c>
      <c r="J514">
        <v>0</v>
      </c>
      <c r="K514" s="60">
        <v>44007000012</v>
      </c>
      <c r="L514" s="60" t="s">
        <v>758</v>
      </c>
      <c r="M514" s="57">
        <v>0</v>
      </c>
      <c r="N514" s="57">
        <v>234.17</v>
      </c>
      <c r="O514" s="57">
        <v>5504.8</v>
      </c>
      <c r="Q514">
        <v>560</v>
      </c>
      <c r="R514" t="s">
        <v>1040</v>
      </c>
      <c r="T514" s="57">
        <v>0</v>
      </c>
      <c r="U514" s="57">
        <v>234.17</v>
      </c>
      <c r="V514" s="57">
        <v>5504.8</v>
      </c>
    </row>
    <row r="515" spans="1:22" ht="15.75" customHeight="1" x14ac:dyDescent="0.3">
      <c r="A515" s="57" t="s">
        <v>571</v>
      </c>
      <c r="B515" s="57" t="s">
        <v>604</v>
      </c>
      <c r="C515" s="58" t="s">
        <v>1277</v>
      </c>
      <c r="D515" s="58" t="s">
        <v>1123</v>
      </c>
      <c r="E515" s="59" t="s">
        <v>1286</v>
      </c>
      <c r="F515" s="55" t="s">
        <v>571</v>
      </c>
      <c r="G515" s="55" t="s">
        <v>604</v>
      </c>
      <c r="H515" t="s">
        <v>731</v>
      </c>
      <c r="I515" t="s">
        <v>731</v>
      </c>
      <c r="J515">
        <v>0</v>
      </c>
      <c r="K515" s="60">
        <v>44007000013</v>
      </c>
      <c r="L515" s="60" t="s">
        <v>759</v>
      </c>
      <c r="M515" s="57">
        <v>0</v>
      </c>
      <c r="N515" s="57">
        <v>0</v>
      </c>
      <c r="O515" s="57">
        <v>2761.25</v>
      </c>
      <c r="Q515">
        <v>560</v>
      </c>
      <c r="R515" t="s">
        <v>1041</v>
      </c>
      <c r="T515" s="57">
        <v>0</v>
      </c>
      <c r="U515" s="57">
        <v>0</v>
      </c>
      <c r="V515" s="57">
        <v>2761.25</v>
      </c>
    </row>
    <row r="516" spans="1:22" ht="15.75" customHeight="1" x14ac:dyDescent="0.3">
      <c r="A516" s="57" t="s">
        <v>571</v>
      </c>
      <c r="B516" s="57" t="s">
        <v>604</v>
      </c>
      <c r="C516" s="58" t="s">
        <v>1277</v>
      </c>
      <c r="D516" s="58" t="s">
        <v>1123</v>
      </c>
      <c r="E516" s="59" t="s">
        <v>1286</v>
      </c>
      <c r="F516" s="55" t="s">
        <v>571</v>
      </c>
      <c r="G516" s="55" t="s">
        <v>604</v>
      </c>
      <c r="H516" t="s">
        <v>731</v>
      </c>
      <c r="I516" t="s">
        <v>731</v>
      </c>
      <c r="J516">
        <v>0</v>
      </c>
      <c r="K516" s="76">
        <v>44007000014</v>
      </c>
      <c r="L516" s="77" t="s">
        <v>760</v>
      </c>
      <c r="M516" s="57">
        <v>1130.03</v>
      </c>
      <c r="N516" s="57">
        <v>1207.9000000000001</v>
      </c>
      <c r="O516" s="57">
        <v>0</v>
      </c>
      <c r="Q516">
        <v>560</v>
      </c>
      <c r="R516" t="s">
        <v>1041</v>
      </c>
      <c r="T516" s="57">
        <v>1130.03</v>
      </c>
      <c r="U516" s="57">
        <v>1207.9000000000001</v>
      </c>
      <c r="V516" s="57">
        <v>0</v>
      </c>
    </row>
    <row r="517" spans="1:22" ht="15.75" customHeight="1" x14ac:dyDescent="0.3">
      <c r="A517" s="57" t="s">
        <v>571</v>
      </c>
      <c r="B517" s="57" t="s">
        <v>604</v>
      </c>
      <c r="C517" s="58" t="s">
        <v>1277</v>
      </c>
      <c r="D517" s="58" t="s">
        <v>1123</v>
      </c>
      <c r="E517" s="59" t="s">
        <v>1286</v>
      </c>
      <c r="F517" s="55" t="s">
        <v>571</v>
      </c>
      <c r="G517" s="55" t="s">
        <v>604</v>
      </c>
      <c r="H517" t="s">
        <v>731</v>
      </c>
      <c r="I517" t="s">
        <v>731</v>
      </c>
      <c r="J517">
        <v>0</v>
      </c>
      <c r="K517" s="76">
        <v>44003000017</v>
      </c>
      <c r="L517" s="77" t="s">
        <v>761</v>
      </c>
      <c r="M517" s="57">
        <v>2722.48</v>
      </c>
      <c r="N517" s="57">
        <v>1216.56</v>
      </c>
      <c r="O517" s="57">
        <v>0</v>
      </c>
      <c r="Q517">
        <v>560</v>
      </c>
      <c r="R517" t="s">
        <v>1041</v>
      </c>
      <c r="T517" s="57">
        <v>2722.48</v>
      </c>
      <c r="U517" s="57">
        <v>1216.56</v>
      </c>
      <c r="V517" s="57">
        <v>0</v>
      </c>
    </row>
    <row r="518" spans="1:22" ht="15.75" customHeight="1" x14ac:dyDescent="0.3">
      <c r="A518" s="57"/>
      <c r="B518" s="57"/>
      <c r="C518" s="58"/>
      <c r="D518" s="58"/>
      <c r="E518" s="59"/>
      <c r="F518" s="55" t="s">
        <v>571</v>
      </c>
      <c r="G518" s="55" t="s">
        <v>604</v>
      </c>
      <c r="H518" t="s">
        <v>731</v>
      </c>
      <c r="I518" t="s">
        <v>731</v>
      </c>
      <c r="J518">
        <v>0</v>
      </c>
      <c r="K518" s="69" t="s">
        <v>1287</v>
      </c>
      <c r="L518" s="69" t="s">
        <v>1288</v>
      </c>
      <c r="M518" s="57">
        <v>0</v>
      </c>
      <c r="N518" s="57">
        <v>4987.5799999999872</v>
      </c>
      <c r="O518" s="57">
        <v>-5469.1100000000006</v>
      </c>
      <c r="Q518">
        <v>560</v>
      </c>
      <c r="R518" t="s">
        <v>1041</v>
      </c>
      <c r="T518" s="57">
        <v>0</v>
      </c>
      <c r="U518" s="57">
        <v>0</v>
      </c>
      <c r="V518" s="57">
        <v>0</v>
      </c>
    </row>
    <row r="519" spans="1:22" ht="15.75" customHeight="1" x14ac:dyDescent="0.3">
      <c r="A519" s="57" t="s">
        <v>571</v>
      </c>
      <c r="B519" s="57" t="s">
        <v>604</v>
      </c>
      <c r="C519" s="58" t="s">
        <v>1277</v>
      </c>
      <c r="D519" s="58" t="s">
        <v>90</v>
      </c>
      <c r="E519" s="59" t="s">
        <v>1289</v>
      </c>
      <c r="F519" s="55" t="s">
        <v>571</v>
      </c>
      <c r="G519" s="55" t="s">
        <v>604</v>
      </c>
      <c r="H519" t="s">
        <v>41</v>
      </c>
      <c r="I519" t="s">
        <v>41</v>
      </c>
      <c r="J519">
        <v>0</v>
      </c>
      <c r="K519" s="60">
        <v>44009000001</v>
      </c>
      <c r="L519" s="60" t="s">
        <v>762</v>
      </c>
      <c r="M519" s="57">
        <v>145891.03</v>
      </c>
      <c r="N519" s="57">
        <v>396890.12376706675</v>
      </c>
      <c r="O519" s="57">
        <v>472782.29074157664</v>
      </c>
      <c r="Q519">
        <v>570</v>
      </c>
      <c r="R519" t="s">
        <v>1042</v>
      </c>
      <c r="T519" s="57">
        <v>145891.03</v>
      </c>
      <c r="U519" s="57">
        <v>146190.26999999999</v>
      </c>
      <c r="V519" s="57">
        <v>242556.76</v>
      </c>
    </row>
    <row r="520" spans="1:22" ht="15.75" customHeight="1" x14ac:dyDescent="0.3">
      <c r="A520" s="57" t="s">
        <v>571</v>
      </c>
      <c r="B520" s="57" t="s">
        <v>604</v>
      </c>
      <c r="C520" s="58" t="s">
        <v>1277</v>
      </c>
      <c r="D520" s="58" t="s">
        <v>90</v>
      </c>
      <c r="E520" s="59" t="s">
        <v>1289</v>
      </c>
      <c r="F520" s="55" t="s">
        <v>571</v>
      </c>
      <c r="G520" s="55" t="s">
        <v>604</v>
      </c>
      <c r="H520" t="s">
        <v>41</v>
      </c>
      <c r="I520" t="s">
        <v>41</v>
      </c>
      <c r="J520">
        <v>0</v>
      </c>
      <c r="K520" s="60">
        <v>44009000002</v>
      </c>
      <c r="L520" s="60" t="s">
        <v>763</v>
      </c>
      <c r="M520" s="57">
        <v>304193.15999999997</v>
      </c>
      <c r="N520" s="57">
        <v>213035.8</v>
      </c>
      <c r="O520" s="57">
        <v>333197.31</v>
      </c>
      <c r="Q520">
        <v>570</v>
      </c>
      <c r="R520" t="s">
        <v>1042</v>
      </c>
      <c r="T520" s="57">
        <v>304193.15999999997</v>
      </c>
      <c r="U520" s="57">
        <v>213035.8</v>
      </c>
      <c r="V520" s="57">
        <v>333197.31</v>
      </c>
    </row>
    <row r="521" spans="1:22" ht="15.75" customHeight="1" x14ac:dyDescent="0.3">
      <c r="A521" s="57" t="s">
        <v>571</v>
      </c>
      <c r="B521" s="57" t="s">
        <v>604</v>
      </c>
      <c r="C521" s="58" t="s">
        <v>1277</v>
      </c>
      <c r="D521" s="58" t="s">
        <v>90</v>
      </c>
      <c r="E521" s="59" t="s">
        <v>1289</v>
      </c>
      <c r="F521" s="55" t="s">
        <v>571</v>
      </c>
      <c r="G521" s="55" t="s">
        <v>604</v>
      </c>
      <c r="H521" t="s">
        <v>41</v>
      </c>
      <c r="I521" t="s">
        <v>41</v>
      </c>
      <c r="J521">
        <v>0</v>
      </c>
      <c r="K521" s="60">
        <v>44009000003</v>
      </c>
      <c r="L521" s="60" t="s">
        <v>764</v>
      </c>
      <c r="M521" s="57">
        <v>30840.33</v>
      </c>
      <c r="N521" s="57">
        <v>22433.200000000001</v>
      </c>
      <c r="O521" s="57">
        <v>27667.1</v>
      </c>
      <c r="Q521">
        <v>570</v>
      </c>
      <c r="R521" t="s">
        <v>1042</v>
      </c>
      <c r="T521" s="57">
        <v>30840.33</v>
      </c>
      <c r="U521" s="57">
        <v>22433.200000000001</v>
      </c>
      <c r="V521" s="57">
        <v>27667.1</v>
      </c>
    </row>
    <row r="522" spans="1:22" ht="15.75" customHeight="1" x14ac:dyDescent="0.3">
      <c r="A522" s="57" t="s">
        <v>571</v>
      </c>
      <c r="B522" s="57" t="s">
        <v>604</v>
      </c>
      <c r="C522" s="58" t="s">
        <v>1277</v>
      </c>
      <c r="D522" s="58" t="s">
        <v>90</v>
      </c>
      <c r="E522" s="59" t="s">
        <v>1289</v>
      </c>
      <c r="F522" s="55" t="s">
        <v>571</v>
      </c>
      <c r="G522" s="55" t="s">
        <v>604</v>
      </c>
      <c r="H522" t="s">
        <v>41</v>
      </c>
      <c r="I522" t="s">
        <v>41</v>
      </c>
      <c r="J522">
        <v>0</v>
      </c>
      <c r="K522" s="60">
        <v>44009000004</v>
      </c>
      <c r="L522" s="60" t="s">
        <v>765</v>
      </c>
      <c r="M522" s="57">
        <v>25999.66</v>
      </c>
      <c r="N522" s="57">
        <v>43045.666983307077</v>
      </c>
      <c r="O522" s="57">
        <v>41263.256983307074</v>
      </c>
      <c r="Q522">
        <v>570</v>
      </c>
      <c r="R522" t="s">
        <v>1042</v>
      </c>
      <c r="T522" s="57">
        <v>25999.66</v>
      </c>
      <c r="U522" s="57">
        <v>66190.91</v>
      </c>
      <c r="V522" s="57">
        <v>68107.7</v>
      </c>
    </row>
    <row r="523" spans="1:22" ht="15.75" customHeight="1" x14ac:dyDescent="0.3">
      <c r="A523" s="57" t="s">
        <v>571</v>
      </c>
      <c r="B523" s="57" t="s">
        <v>604</v>
      </c>
      <c r="C523" s="58" t="s">
        <v>1277</v>
      </c>
      <c r="D523" s="58" t="s">
        <v>90</v>
      </c>
      <c r="E523" s="59" t="s">
        <v>1289</v>
      </c>
      <c r="F523" s="55" t="s">
        <v>571</v>
      </c>
      <c r="G523" s="55" t="s">
        <v>604</v>
      </c>
      <c r="H523" t="s">
        <v>41</v>
      </c>
      <c r="I523" t="s">
        <v>41</v>
      </c>
      <c r="J523">
        <v>0</v>
      </c>
      <c r="K523" s="60">
        <v>44009000009</v>
      </c>
      <c r="L523" s="60" t="s">
        <v>766</v>
      </c>
      <c r="M523" s="57">
        <v>2595</v>
      </c>
      <c r="N523" s="57">
        <v>2595</v>
      </c>
      <c r="O523" s="57">
        <v>2595</v>
      </c>
      <c r="Q523">
        <v>570</v>
      </c>
      <c r="R523" t="s">
        <v>1043</v>
      </c>
      <c r="T523" s="57">
        <v>2595</v>
      </c>
      <c r="U523" s="57">
        <v>2595</v>
      </c>
      <c r="V523" s="57">
        <v>2595</v>
      </c>
    </row>
    <row r="524" spans="1:22" ht="15.75" customHeight="1" x14ac:dyDescent="0.3">
      <c r="A524" s="57" t="s">
        <v>571</v>
      </c>
      <c r="B524" s="57" t="s">
        <v>604</v>
      </c>
      <c r="C524" s="58" t="s">
        <v>1277</v>
      </c>
      <c r="D524" s="58" t="s">
        <v>90</v>
      </c>
      <c r="E524" s="59" t="s">
        <v>1289</v>
      </c>
      <c r="F524" s="55" t="s">
        <v>571</v>
      </c>
      <c r="G524" s="55" t="s">
        <v>604</v>
      </c>
      <c r="H524" t="s">
        <v>41</v>
      </c>
      <c r="I524" t="s">
        <v>41</v>
      </c>
      <c r="J524">
        <v>0</v>
      </c>
      <c r="K524" s="60">
        <v>44009000010</v>
      </c>
      <c r="L524" s="60" t="s">
        <v>767</v>
      </c>
      <c r="M524" s="57">
        <v>20681.48</v>
      </c>
      <c r="N524" s="57">
        <v>0</v>
      </c>
      <c r="O524" s="57">
        <v>0</v>
      </c>
      <c r="Q524">
        <v>570</v>
      </c>
      <c r="R524" t="s">
        <v>1043</v>
      </c>
      <c r="T524" s="57">
        <v>20681.48</v>
      </c>
      <c r="U524" s="57">
        <v>20681.48</v>
      </c>
      <c r="V524" s="57">
        <v>20681.48</v>
      </c>
    </row>
    <row r="525" spans="1:22" ht="15.75" customHeight="1" x14ac:dyDescent="0.3">
      <c r="A525" s="57" t="s">
        <v>571</v>
      </c>
      <c r="B525" s="57" t="s">
        <v>604</v>
      </c>
      <c r="C525" s="58" t="s">
        <v>1277</v>
      </c>
      <c r="D525" s="58" t="s">
        <v>90</v>
      </c>
      <c r="E525" s="59" t="s">
        <v>1289</v>
      </c>
      <c r="F525" s="55" t="s">
        <v>571</v>
      </c>
      <c r="G525" s="55" t="s">
        <v>604</v>
      </c>
      <c r="H525" t="s">
        <v>41</v>
      </c>
      <c r="I525" t="s">
        <v>41</v>
      </c>
      <c r="J525">
        <v>0</v>
      </c>
      <c r="K525" s="60">
        <v>44009000012</v>
      </c>
      <c r="L525" s="60" t="s">
        <v>768</v>
      </c>
      <c r="M525" s="57">
        <v>72093.67</v>
      </c>
      <c r="N525" s="57">
        <v>1699.5499999999884</v>
      </c>
      <c r="O525" s="57">
        <v>4533.9700000000012</v>
      </c>
      <c r="Q525">
        <v>570</v>
      </c>
      <c r="R525" t="s">
        <v>1043</v>
      </c>
      <c r="T525" s="57">
        <v>72093.67</v>
      </c>
      <c r="U525" s="57">
        <v>123873.28</v>
      </c>
      <c r="V525" s="57">
        <v>197389.43</v>
      </c>
    </row>
    <row r="526" spans="1:22" ht="15.75" customHeight="1" x14ac:dyDescent="0.3">
      <c r="A526" s="57" t="s">
        <v>571</v>
      </c>
      <c r="B526" s="57" t="s">
        <v>604</v>
      </c>
      <c r="C526" s="58" t="s">
        <v>1277</v>
      </c>
      <c r="D526" s="58" t="s">
        <v>90</v>
      </c>
      <c r="E526" s="59" t="s">
        <v>1289</v>
      </c>
      <c r="F526" s="55" t="s">
        <v>571</v>
      </c>
      <c r="G526" s="55" t="s">
        <v>604</v>
      </c>
      <c r="H526" t="s">
        <v>41</v>
      </c>
      <c r="I526" t="s">
        <v>41</v>
      </c>
      <c r="J526">
        <v>0</v>
      </c>
      <c r="K526" s="60">
        <v>44009000013</v>
      </c>
      <c r="L526" s="60" t="s">
        <v>769</v>
      </c>
      <c r="M526" s="57">
        <v>0</v>
      </c>
      <c r="N526" s="57">
        <v>8381.89</v>
      </c>
      <c r="O526" s="57">
        <v>9041.02</v>
      </c>
      <c r="Q526">
        <v>570</v>
      </c>
      <c r="R526" t="s">
        <v>1042</v>
      </c>
      <c r="T526" s="57">
        <v>0</v>
      </c>
      <c r="U526" s="57">
        <v>8381.89</v>
      </c>
      <c r="V526" s="57">
        <v>9041.02</v>
      </c>
    </row>
    <row r="527" spans="1:22" ht="15.75" customHeight="1" x14ac:dyDescent="0.3">
      <c r="A527" s="57"/>
      <c r="B527" s="57"/>
      <c r="C527" s="58"/>
      <c r="D527" s="58"/>
      <c r="E527" s="59"/>
      <c r="F527" s="55" t="s">
        <v>571</v>
      </c>
      <c r="G527" s="55" t="s">
        <v>604</v>
      </c>
      <c r="H527" t="s">
        <v>41</v>
      </c>
      <c r="I527" t="s">
        <v>41</v>
      </c>
      <c r="J527">
        <v>0</v>
      </c>
      <c r="K527" s="69" t="s">
        <v>770</v>
      </c>
      <c r="L527" s="69" t="s">
        <v>771</v>
      </c>
      <c r="M527" s="57">
        <v>0</v>
      </c>
      <c r="N527" s="57">
        <v>2700</v>
      </c>
      <c r="O527" s="57">
        <v>23645.43</v>
      </c>
      <c r="Q527">
        <v>570</v>
      </c>
      <c r="R527" t="s">
        <v>1042</v>
      </c>
      <c r="T527" s="57">
        <v>0</v>
      </c>
      <c r="U527" s="57">
        <v>0</v>
      </c>
      <c r="V527" s="57">
        <v>0</v>
      </c>
    </row>
    <row r="528" spans="1:22" ht="15.75" customHeight="1" x14ac:dyDescent="0.3">
      <c r="A528" s="57"/>
      <c r="B528" s="57"/>
      <c r="C528" s="58"/>
      <c r="D528" s="58"/>
      <c r="E528" s="59"/>
      <c r="F528" s="55" t="s">
        <v>571</v>
      </c>
      <c r="G528" s="55" t="s">
        <v>604</v>
      </c>
      <c r="H528" t="s">
        <v>1126</v>
      </c>
      <c r="K528" s="69">
        <v>44008000055</v>
      </c>
      <c r="L528" s="69" t="s">
        <v>1346</v>
      </c>
      <c r="M528" s="57">
        <v>0</v>
      </c>
      <c r="N528" s="57">
        <v>0</v>
      </c>
      <c r="O528" s="57">
        <v>56266.85</v>
      </c>
      <c r="Q528">
        <v>580</v>
      </c>
      <c r="T528" s="57">
        <v>0</v>
      </c>
      <c r="U528" s="57">
        <v>0</v>
      </c>
      <c r="V528" s="57">
        <v>56266.85</v>
      </c>
    </row>
    <row r="529" spans="1:22" ht="15.75" customHeight="1" x14ac:dyDescent="0.3">
      <c r="A529" s="57" t="s">
        <v>571</v>
      </c>
      <c r="B529" s="57" t="s">
        <v>604</v>
      </c>
      <c r="C529" s="58" t="s">
        <v>1277</v>
      </c>
      <c r="D529" s="58" t="s">
        <v>90</v>
      </c>
      <c r="E529" s="59" t="s">
        <v>1289</v>
      </c>
      <c r="F529" s="55" t="s">
        <v>571</v>
      </c>
      <c r="G529" s="55" t="s">
        <v>604</v>
      </c>
      <c r="H529" t="s">
        <v>156</v>
      </c>
      <c r="I529" t="s">
        <v>156</v>
      </c>
      <c r="J529">
        <v>0</v>
      </c>
      <c r="K529" s="60">
        <v>44006000021</v>
      </c>
      <c r="L529" s="60" t="s">
        <v>772</v>
      </c>
      <c r="M529" s="57">
        <v>20013.95</v>
      </c>
      <c r="N529" s="57">
        <v>120972.09</v>
      </c>
      <c r="O529" s="57">
        <v>35165.53</v>
      </c>
      <c r="Q529">
        <v>570</v>
      </c>
      <c r="R529" t="s">
        <v>1044</v>
      </c>
      <c r="T529" s="57">
        <v>20013.95</v>
      </c>
      <c r="U529" s="57">
        <v>120972.09</v>
      </c>
      <c r="V529" s="57">
        <v>35165.53</v>
      </c>
    </row>
    <row r="530" spans="1:22" ht="15.75" customHeight="1" x14ac:dyDescent="0.3">
      <c r="A530" s="57" t="s">
        <v>571</v>
      </c>
      <c r="B530" s="57" t="s">
        <v>604</v>
      </c>
      <c r="C530" s="58" t="s">
        <v>1277</v>
      </c>
      <c r="D530" s="58" t="s">
        <v>1127</v>
      </c>
      <c r="E530" s="59" t="s">
        <v>1290</v>
      </c>
      <c r="F530" s="55" t="s">
        <v>571</v>
      </c>
      <c r="G530" s="55" t="s">
        <v>604</v>
      </c>
      <c r="H530" t="s">
        <v>91</v>
      </c>
      <c r="I530" t="s">
        <v>91</v>
      </c>
      <c r="J530">
        <v>0</v>
      </c>
      <c r="K530" s="60">
        <v>44008000018</v>
      </c>
      <c r="L530" s="60" t="s">
        <v>773</v>
      </c>
      <c r="M530" s="57">
        <v>7393.81</v>
      </c>
      <c r="N530" s="57">
        <v>23745.67</v>
      </c>
      <c r="O530" s="57">
        <v>10733.27</v>
      </c>
      <c r="Q530">
        <v>590</v>
      </c>
      <c r="R530" t="s">
        <v>1045</v>
      </c>
      <c r="T530" s="57">
        <v>7393.81</v>
      </c>
      <c r="U530" s="57">
        <v>23745.67</v>
      </c>
      <c r="V530" s="57">
        <v>10733.27</v>
      </c>
    </row>
    <row r="531" spans="1:22" ht="15.75" customHeight="1" x14ac:dyDescent="0.3">
      <c r="A531" s="57" t="s">
        <v>571</v>
      </c>
      <c r="B531" s="57" t="s">
        <v>604</v>
      </c>
      <c r="C531" s="58" t="s">
        <v>1277</v>
      </c>
      <c r="D531" s="58" t="s">
        <v>1127</v>
      </c>
      <c r="E531" s="59" t="s">
        <v>1290</v>
      </c>
      <c r="F531" s="55" t="s">
        <v>571</v>
      </c>
      <c r="G531" s="55" t="s">
        <v>604</v>
      </c>
      <c r="H531" t="s">
        <v>91</v>
      </c>
      <c r="I531" t="s">
        <v>91</v>
      </c>
      <c r="J531">
        <v>0</v>
      </c>
      <c r="K531" s="60">
        <v>44008000020</v>
      </c>
      <c r="L531" s="60" t="s">
        <v>774</v>
      </c>
      <c r="M531" s="57">
        <v>3583.94</v>
      </c>
      <c r="N531" s="57">
        <v>6636.24</v>
      </c>
      <c r="O531" s="57">
        <v>7637.07</v>
      </c>
      <c r="Q531">
        <v>590</v>
      </c>
      <c r="R531" t="s">
        <v>1045</v>
      </c>
      <c r="T531" s="57">
        <v>3583.94</v>
      </c>
      <c r="U531" s="57">
        <v>6636.24</v>
      </c>
      <c r="V531" s="57">
        <v>7637.07</v>
      </c>
    </row>
    <row r="532" spans="1:22" ht="15.75" customHeight="1" x14ac:dyDescent="0.3">
      <c r="A532" s="57" t="s">
        <v>571</v>
      </c>
      <c r="B532" s="57" t="s">
        <v>604</v>
      </c>
      <c r="C532" s="58" t="s">
        <v>1277</v>
      </c>
      <c r="D532" s="58" t="s">
        <v>1127</v>
      </c>
      <c r="E532" s="59" t="s">
        <v>1290</v>
      </c>
      <c r="F532" s="55" t="s">
        <v>571</v>
      </c>
      <c r="G532" s="55" t="s">
        <v>604</v>
      </c>
      <c r="H532" t="s">
        <v>91</v>
      </c>
      <c r="I532" t="s">
        <v>91</v>
      </c>
      <c r="J532">
        <v>0</v>
      </c>
      <c r="K532" s="60">
        <v>44008000016</v>
      </c>
      <c r="L532" s="60" t="s">
        <v>775</v>
      </c>
      <c r="M532" s="57">
        <v>3111</v>
      </c>
      <c r="N532" s="57">
        <v>3248.94</v>
      </c>
      <c r="O532" s="57">
        <v>2156.59</v>
      </c>
      <c r="Q532">
        <v>590</v>
      </c>
      <c r="R532" t="s">
        <v>1045</v>
      </c>
      <c r="T532" s="57">
        <v>3111</v>
      </c>
      <c r="U532" s="57">
        <v>3248.94</v>
      </c>
      <c r="V532" s="57">
        <v>2156.59</v>
      </c>
    </row>
    <row r="533" spans="1:22" ht="15.75" customHeight="1" x14ac:dyDescent="0.3">
      <c r="A533" s="57" t="s">
        <v>571</v>
      </c>
      <c r="B533" s="57" t="s">
        <v>604</v>
      </c>
      <c r="C533" s="58" t="s">
        <v>1277</v>
      </c>
      <c r="D533" s="58" t="s">
        <v>1127</v>
      </c>
      <c r="E533" s="59" t="s">
        <v>1290</v>
      </c>
      <c r="F533" s="55" t="s">
        <v>571</v>
      </c>
      <c r="G533" s="55" t="s">
        <v>604</v>
      </c>
      <c r="H533" t="s">
        <v>91</v>
      </c>
      <c r="I533" t="s">
        <v>91</v>
      </c>
      <c r="J533">
        <v>0</v>
      </c>
      <c r="K533" s="60">
        <v>44008000044</v>
      </c>
      <c r="L533" s="60" t="s">
        <v>776</v>
      </c>
      <c r="M533" s="57">
        <v>9702.02</v>
      </c>
      <c r="N533" s="57">
        <v>11426</v>
      </c>
      <c r="O533" s="57">
        <v>10384</v>
      </c>
      <c r="Q533">
        <v>590</v>
      </c>
      <c r="R533" t="s">
        <v>1045</v>
      </c>
      <c r="T533" s="57">
        <v>9702.02</v>
      </c>
      <c r="U533" s="57">
        <v>11426</v>
      </c>
      <c r="V533" s="57">
        <v>10384</v>
      </c>
    </row>
    <row r="534" spans="1:22" ht="15.75" customHeight="1" x14ac:dyDescent="0.3">
      <c r="A534" s="57" t="s">
        <v>571</v>
      </c>
      <c r="B534" s="57" t="s">
        <v>604</v>
      </c>
      <c r="C534" s="58" t="s">
        <v>1277</v>
      </c>
      <c r="D534" s="58" t="s">
        <v>1127</v>
      </c>
      <c r="E534" s="59" t="s">
        <v>1290</v>
      </c>
      <c r="F534" s="55" t="s">
        <v>571</v>
      </c>
      <c r="G534" s="55" t="s">
        <v>604</v>
      </c>
      <c r="H534" t="s">
        <v>91</v>
      </c>
      <c r="I534" t="s">
        <v>91</v>
      </c>
      <c r="J534">
        <v>0</v>
      </c>
      <c r="K534" s="60">
        <v>44008000003</v>
      </c>
      <c r="L534" s="60" t="s">
        <v>777</v>
      </c>
      <c r="M534" s="57">
        <v>4530.6899999999996</v>
      </c>
      <c r="N534" s="57">
        <v>2526.63</v>
      </c>
      <c r="O534" s="57">
        <v>1648.89</v>
      </c>
      <c r="Q534">
        <v>590</v>
      </c>
      <c r="R534" t="s">
        <v>1045</v>
      </c>
      <c r="T534" s="57">
        <v>4530.6899999999996</v>
      </c>
      <c r="U534" s="57">
        <v>2526.63</v>
      </c>
      <c r="V534" s="57">
        <v>1648.89</v>
      </c>
    </row>
    <row r="535" spans="1:22" ht="15.75" customHeight="1" x14ac:dyDescent="0.3">
      <c r="A535" s="57" t="s">
        <v>571</v>
      </c>
      <c r="B535" s="57" t="s">
        <v>604</v>
      </c>
      <c r="C535" s="58" t="s">
        <v>1277</v>
      </c>
      <c r="D535" s="58" t="s">
        <v>1127</v>
      </c>
      <c r="E535" s="59" t="s">
        <v>1290</v>
      </c>
      <c r="F535" s="55" t="s">
        <v>571</v>
      </c>
      <c r="G535" s="55" t="s">
        <v>604</v>
      </c>
      <c r="H535" t="s">
        <v>91</v>
      </c>
      <c r="I535" t="s">
        <v>91</v>
      </c>
      <c r="J535">
        <v>0</v>
      </c>
      <c r="K535" s="60">
        <v>44008000036</v>
      </c>
      <c r="L535" s="60" t="s">
        <v>778</v>
      </c>
      <c r="M535" s="57">
        <v>35964</v>
      </c>
      <c r="N535" s="57">
        <v>48310</v>
      </c>
      <c r="O535" s="57">
        <v>48766</v>
      </c>
      <c r="Q535">
        <v>590</v>
      </c>
      <c r="R535" t="s">
        <v>1046</v>
      </c>
      <c r="T535" s="57">
        <v>35964</v>
      </c>
      <c r="U535" s="57">
        <v>48310</v>
      </c>
      <c r="V535" s="57">
        <v>48766</v>
      </c>
    </row>
    <row r="536" spans="1:22" ht="15.75" customHeight="1" x14ac:dyDescent="0.3">
      <c r="A536" s="57" t="s">
        <v>571</v>
      </c>
      <c r="B536" s="57" t="s">
        <v>604</v>
      </c>
      <c r="C536" s="58" t="s">
        <v>1277</v>
      </c>
      <c r="D536" s="58" t="s">
        <v>1127</v>
      </c>
      <c r="E536" s="59" t="s">
        <v>1290</v>
      </c>
      <c r="F536" s="55" t="s">
        <v>571</v>
      </c>
      <c r="G536" s="55" t="s">
        <v>604</v>
      </c>
      <c r="H536" t="s">
        <v>91</v>
      </c>
      <c r="I536" t="s">
        <v>91</v>
      </c>
      <c r="J536">
        <v>0</v>
      </c>
      <c r="K536" s="60">
        <v>44008000047</v>
      </c>
      <c r="L536" s="60" t="s">
        <v>779</v>
      </c>
      <c r="M536" s="57">
        <v>231.38</v>
      </c>
      <c r="N536" s="57">
        <v>0</v>
      </c>
      <c r="O536" s="57">
        <v>0</v>
      </c>
      <c r="Q536">
        <v>590</v>
      </c>
      <c r="R536" t="s">
        <v>1045</v>
      </c>
      <c r="T536" s="57">
        <v>231.38</v>
      </c>
      <c r="U536" s="57">
        <v>0</v>
      </c>
      <c r="V536" s="57">
        <v>0</v>
      </c>
    </row>
    <row r="537" spans="1:22" ht="15.75" customHeight="1" x14ac:dyDescent="0.3">
      <c r="A537" s="57" t="s">
        <v>571</v>
      </c>
      <c r="B537" s="57" t="s">
        <v>604</v>
      </c>
      <c r="C537" s="58" t="s">
        <v>1277</v>
      </c>
      <c r="D537" s="58" t="s">
        <v>1127</v>
      </c>
      <c r="E537" s="59" t="s">
        <v>1290</v>
      </c>
      <c r="F537" s="55" t="s">
        <v>571</v>
      </c>
      <c r="G537" s="55" t="s">
        <v>604</v>
      </c>
      <c r="H537" t="s">
        <v>91</v>
      </c>
      <c r="I537" t="s">
        <v>91</v>
      </c>
      <c r="J537">
        <v>0</v>
      </c>
      <c r="K537" s="60">
        <v>44008000013</v>
      </c>
      <c r="L537" s="60" t="s">
        <v>780</v>
      </c>
      <c r="M537" s="57">
        <v>190.07</v>
      </c>
      <c r="N537" s="57">
        <v>763.32</v>
      </c>
      <c r="O537" s="57">
        <v>2383.7800000000002</v>
      </c>
      <c r="Q537">
        <v>590</v>
      </c>
      <c r="R537" t="s">
        <v>1045</v>
      </c>
      <c r="T537" s="57">
        <v>190.07</v>
      </c>
      <c r="U537" s="57">
        <v>763.32</v>
      </c>
      <c r="V537" s="57">
        <v>4137.34</v>
      </c>
    </row>
    <row r="538" spans="1:22" ht="15.75" customHeight="1" x14ac:dyDescent="0.3">
      <c r="A538" s="57" t="s">
        <v>571</v>
      </c>
      <c r="B538" s="57" t="s">
        <v>604</v>
      </c>
      <c r="C538" s="58" t="s">
        <v>1277</v>
      </c>
      <c r="D538" s="58" t="s">
        <v>1127</v>
      </c>
      <c r="E538" s="59" t="s">
        <v>1290</v>
      </c>
      <c r="F538" s="55" t="s">
        <v>571</v>
      </c>
      <c r="G538" s="55" t="s">
        <v>604</v>
      </c>
      <c r="H538" t="s">
        <v>91</v>
      </c>
      <c r="I538" t="s">
        <v>91</v>
      </c>
      <c r="J538">
        <v>0</v>
      </c>
      <c r="K538" s="60">
        <v>44008000014</v>
      </c>
      <c r="L538" s="60" t="s">
        <v>781</v>
      </c>
      <c r="M538" s="57">
        <v>3827.97</v>
      </c>
      <c r="N538" s="57">
        <v>3194.06</v>
      </c>
      <c r="O538" s="57">
        <v>1753.56</v>
      </c>
      <c r="Q538">
        <v>590</v>
      </c>
      <c r="R538" t="s">
        <v>1045</v>
      </c>
      <c r="T538" s="57">
        <v>3827.97</v>
      </c>
      <c r="U538" s="57">
        <v>3194.06</v>
      </c>
      <c r="V538" s="57">
        <v>0</v>
      </c>
    </row>
    <row r="539" spans="1:22" ht="15.75" customHeight="1" x14ac:dyDescent="0.3">
      <c r="A539" s="57" t="s">
        <v>571</v>
      </c>
      <c r="B539" s="57" t="s">
        <v>604</v>
      </c>
      <c r="C539" s="58" t="s">
        <v>1277</v>
      </c>
      <c r="D539" s="58" t="s">
        <v>1127</v>
      </c>
      <c r="E539" s="59" t="s">
        <v>1290</v>
      </c>
      <c r="F539" s="55" t="s">
        <v>571</v>
      </c>
      <c r="G539" s="55" t="s">
        <v>604</v>
      </c>
      <c r="H539" t="s">
        <v>91</v>
      </c>
      <c r="I539" t="s">
        <v>91</v>
      </c>
      <c r="J539">
        <v>0</v>
      </c>
      <c r="K539" s="60">
        <v>44008000015</v>
      </c>
      <c r="L539" s="60" t="s">
        <v>782</v>
      </c>
      <c r="M539" s="57">
        <v>1977.22</v>
      </c>
      <c r="N539" s="57">
        <v>1723.95</v>
      </c>
      <c r="O539" s="57">
        <v>1854.13</v>
      </c>
      <c r="Q539">
        <v>590</v>
      </c>
      <c r="R539" t="s">
        <v>1045</v>
      </c>
      <c r="T539" s="57">
        <v>1977.22</v>
      </c>
      <c r="U539" s="57">
        <v>1723.95</v>
      </c>
      <c r="V539" s="57">
        <v>1854.13</v>
      </c>
    </row>
    <row r="540" spans="1:22" ht="15.75" customHeight="1" x14ac:dyDescent="0.3">
      <c r="A540" s="57" t="s">
        <v>571</v>
      </c>
      <c r="B540" s="57" t="s">
        <v>604</v>
      </c>
      <c r="C540" s="58" t="s">
        <v>1277</v>
      </c>
      <c r="D540" s="58" t="s">
        <v>1127</v>
      </c>
      <c r="E540" s="59" t="s">
        <v>1290</v>
      </c>
      <c r="F540" s="55" t="s">
        <v>571</v>
      </c>
      <c r="G540" s="55" t="s">
        <v>604</v>
      </c>
      <c r="H540" t="s">
        <v>91</v>
      </c>
      <c r="I540" t="s">
        <v>91</v>
      </c>
      <c r="J540">
        <v>0</v>
      </c>
      <c r="K540" s="76">
        <v>44006000022</v>
      </c>
      <c r="L540" s="77" t="s">
        <v>783</v>
      </c>
      <c r="M540" s="57">
        <v>62063.75</v>
      </c>
      <c r="N540" s="57">
        <v>142279.31</v>
      </c>
      <c r="O540" s="57">
        <v>0</v>
      </c>
      <c r="Q540">
        <v>590</v>
      </c>
      <c r="R540" t="s">
        <v>1047</v>
      </c>
      <c r="T540" s="57">
        <v>62063.75</v>
      </c>
      <c r="U540" s="57">
        <v>142279.31</v>
      </c>
      <c r="V540" s="57">
        <v>0</v>
      </c>
    </row>
    <row r="541" spans="1:22" ht="15.75" customHeight="1" x14ac:dyDescent="0.3">
      <c r="A541" s="57" t="s">
        <v>571</v>
      </c>
      <c r="B541" s="57" t="s">
        <v>604</v>
      </c>
      <c r="C541" s="58" t="s">
        <v>1277</v>
      </c>
      <c r="D541" s="58" t="s">
        <v>1127</v>
      </c>
      <c r="E541" s="59" t="s">
        <v>1290</v>
      </c>
      <c r="F541" s="55" t="s">
        <v>571</v>
      </c>
      <c r="G541" s="55" t="s">
        <v>604</v>
      </c>
      <c r="H541" t="s">
        <v>91</v>
      </c>
      <c r="I541" t="s">
        <v>91</v>
      </c>
      <c r="J541">
        <v>0</v>
      </c>
      <c r="K541" s="60">
        <v>44008000007</v>
      </c>
      <c r="L541" s="60" t="s">
        <v>784</v>
      </c>
      <c r="M541" s="57">
        <v>47005.71</v>
      </c>
      <c r="N541" s="57">
        <v>47640.639999999999</v>
      </c>
      <c r="O541" s="57">
        <v>42018.71</v>
      </c>
      <c r="Q541">
        <v>590</v>
      </c>
      <c r="R541" t="s">
        <v>1048</v>
      </c>
      <c r="T541" s="57">
        <v>47005.71</v>
      </c>
      <c r="U541" s="57">
        <v>47640.639999999999</v>
      </c>
      <c r="V541" s="57">
        <v>40592.81</v>
      </c>
    </row>
    <row r="542" spans="1:22" ht="15.75" customHeight="1" x14ac:dyDescent="0.3">
      <c r="A542" s="57" t="s">
        <v>571</v>
      </c>
      <c r="B542" s="57" t="s">
        <v>604</v>
      </c>
      <c r="C542" s="58" t="s">
        <v>1277</v>
      </c>
      <c r="D542" s="58" t="s">
        <v>1127</v>
      </c>
      <c r="E542" s="59" t="s">
        <v>1290</v>
      </c>
      <c r="F542" s="55" t="s">
        <v>571</v>
      </c>
      <c r="G542" s="55" t="s">
        <v>604</v>
      </c>
      <c r="H542" t="s">
        <v>91</v>
      </c>
      <c r="I542" t="s">
        <v>91</v>
      </c>
      <c r="J542">
        <v>0</v>
      </c>
      <c r="K542" s="60">
        <v>44008000046</v>
      </c>
      <c r="L542" s="60" t="s">
        <v>785</v>
      </c>
      <c r="M542" s="57">
        <v>40</v>
      </c>
      <c r="N542" s="57">
        <v>40</v>
      </c>
      <c r="O542" s="57">
        <v>15</v>
      </c>
      <c r="Q542">
        <v>590</v>
      </c>
      <c r="R542" t="s">
        <v>1048</v>
      </c>
      <c r="T542" s="57">
        <v>40</v>
      </c>
      <c r="U542" s="57">
        <v>40</v>
      </c>
      <c r="V542" s="57">
        <v>15</v>
      </c>
    </row>
    <row r="543" spans="1:22" ht="15.75" customHeight="1" x14ac:dyDescent="0.3">
      <c r="A543" s="57" t="s">
        <v>571</v>
      </c>
      <c r="B543" s="57" t="s">
        <v>604</v>
      </c>
      <c r="C543" s="58" t="s">
        <v>1277</v>
      </c>
      <c r="D543" s="58" t="s">
        <v>1127</v>
      </c>
      <c r="E543" s="59" t="s">
        <v>1290</v>
      </c>
      <c r="F543" s="55" t="s">
        <v>571</v>
      </c>
      <c r="G543" s="55" t="s">
        <v>604</v>
      </c>
      <c r="H543" t="s">
        <v>91</v>
      </c>
      <c r="I543" t="s">
        <v>91</v>
      </c>
      <c r="J543">
        <v>0</v>
      </c>
      <c r="K543" s="60">
        <v>44008000012</v>
      </c>
      <c r="L543" s="60" t="s">
        <v>786</v>
      </c>
      <c r="M543" s="57">
        <v>7460.24</v>
      </c>
      <c r="N543" s="57">
        <v>2272.02</v>
      </c>
      <c r="O543" s="57">
        <v>262.3</v>
      </c>
      <c r="Q543">
        <v>590</v>
      </c>
      <c r="R543" t="s">
        <v>1048</v>
      </c>
      <c r="T543" s="57">
        <v>7460.24</v>
      </c>
      <c r="U543" s="57">
        <v>2272.02</v>
      </c>
      <c r="V543" s="57">
        <v>262.3</v>
      </c>
    </row>
    <row r="544" spans="1:22" ht="15.75" customHeight="1" x14ac:dyDescent="0.3">
      <c r="A544" s="57" t="s">
        <v>571</v>
      </c>
      <c r="B544" s="57" t="s">
        <v>604</v>
      </c>
      <c r="C544" s="58" t="s">
        <v>1277</v>
      </c>
      <c r="D544" s="58" t="s">
        <v>1127</v>
      </c>
      <c r="E544" s="59" t="s">
        <v>1290</v>
      </c>
      <c r="F544" s="55" t="s">
        <v>571</v>
      </c>
      <c r="G544" s="55" t="s">
        <v>604</v>
      </c>
      <c r="H544" t="s">
        <v>91</v>
      </c>
      <c r="I544" t="s">
        <v>91</v>
      </c>
      <c r="J544">
        <v>0</v>
      </c>
      <c r="K544" s="60">
        <v>44008000017</v>
      </c>
      <c r="L544" s="60" t="s">
        <v>787</v>
      </c>
      <c r="M544" s="57">
        <v>94767.73</v>
      </c>
      <c r="N544" s="57">
        <v>54555.73</v>
      </c>
      <c r="O544" s="57">
        <v>17108.39</v>
      </c>
      <c r="Q544">
        <v>590</v>
      </c>
      <c r="R544" t="s">
        <v>1048</v>
      </c>
      <c r="T544" s="57">
        <v>94767.73</v>
      </c>
      <c r="U544" s="57">
        <v>54555.73</v>
      </c>
      <c r="V544" s="57">
        <v>36949.910000000003</v>
      </c>
    </row>
    <row r="545" spans="1:22" ht="15.75" customHeight="1" x14ac:dyDescent="0.3">
      <c r="A545" s="57" t="s">
        <v>571</v>
      </c>
      <c r="B545" s="57" t="s">
        <v>604</v>
      </c>
      <c r="C545" s="58" t="s">
        <v>1277</v>
      </c>
      <c r="D545" s="58" t="s">
        <v>1127</v>
      </c>
      <c r="E545" s="59" t="s">
        <v>1290</v>
      </c>
      <c r="F545" s="55" t="s">
        <v>571</v>
      </c>
      <c r="G545" s="55" t="s">
        <v>604</v>
      </c>
      <c r="H545" t="s">
        <v>91</v>
      </c>
      <c r="I545" t="s">
        <v>91</v>
      </c>
      <c r="J545">
        <v>0</v>
      </c>
      <c r="K545" s="60">
        <v>44006000019</v>
      </c>
      <c r="L545" s="60" t="s">
        <v>788</v>
      </c>
      <c r="M545" s="57">
        <v>190689.37</v>
      </c>
      <c r="N545" s="57">
        <v>168726.73</v>
      </c>
      <c r="O545" s="57">
        <v>115832.04</v>
      </c>
      <c r="Q545">
        <v>590</v>
      </c>
      <c r="R545" t="s">
        <v>1049</v>
      </c>
      <c r="T545" s="57">
        <v>190689.37</v>
      </c>
      <c r="U545" s="57">
        <v>168726.73</v>
      </c>
      <c r="V545" s="57">
        <v>115832.04</v>
      </c>
    </row>
    <row r="546" spans="1:22" ht="15.75" customHeight="1" x14ac:dyDescent="0.3">
      <c r="A546" s="57" t="s">
        <v>571</v>
      </c>
      <c r="B546" s="57" t="s">
        <v>604</v>
      </c>
      <c r="C546" s="58" t="s">
        <v>1277</v>
      </c>
      <c r="D546" s="58" t="s">
        <v>1127</v>
      </c>
      <c r="E546" s="59" t="s">
        <v>1290</v>
      </c>
      <c r="F546" s="55" t="s">
        <v>571</v>
      </c>
      <c r="G546" s="55" t="s">
        <v>604</v>
      </c>
      <c r="H546" t="s">
        <v>91</v>
      </c>
      <c r="I546" t="s">
        <v>91</v>
      </c>
      <c r="J546">
        <v>0</v>
      </c>
      <c r="K546" s="60">
        <v>44008000035</v>
      </c>
      <c r="L546" s="60" t="s">
        <v>789</v>
      </c>
      <c r="M546" s="57">
        <v>5179.79</v>
      </c>
      <c r="N546" s="57">
        <v>8103.51</v>
      </c>
      <c r="O546" s="57">
        <v>4596.5</v>
      </c>
      <c r="Q546">
        <v>590</v>
      </c>
      <c r="R546" t="s">
        <v>1048</v>
      </c>
      <c r="T546" s="57">
        <v>5179.79</v>
      </c>
      <c r="U546" s="57">
        <v>8103.51</v>
      </c>
      <c r="V546" s="57">
        <v>4596.5</v>
      </c>
    </row>
    <row r="547" spans="1:22" ht="15.75" customHeight="1" x14ac:dyDescent="0.3">
      <c r="A547" s="57" t="s">
        <v>571</v>
      </c>
      <c r="B547" s="57" t="s">
        <v>604</v>
      </c>
      <c r="C547" s="58" t="s">
        <v>1277</v>
      </c>
      <c r="D547" s="58" t="s">
        <v>1127</v>
      </c>
      <c r="E547" s="59" t="s">
        <v>1290</v>
      </c>
      <c r="F547" s="55" t="s">
        <v>571</v>
      </c>
      <c r="G547" s="55" t="s">
        <v>604</v>
      </c>
      <c r="H547" t="s">
        <v>91</v>
      </c>
      <c r="I547" t="s">
        <v>91</v>
      </c>
      <c r="J547">
        <v>0</v>
      </c>
      <c r="K547" s="60">
        <v>44008000051</v>
      </c>
      <c r="L547" s="60" t="s">
        <v>790</v>
      </c>
      <c r="M547" s="57">
        <v>576.9</v>
      </c>
      <c r="N547" s="57">
        <v>278</v>
      </c>
      <c r="O547" s="57">
        <v>0</v>
      </c>
      <c r="Q547">
        <v>590</v>
      </c>
      <c r="R547" t="s">
        <v>1048</v>
      </c>
      <c r="T547" s="57">
        <v>576.9</v>
      </c>
      <c r="U547" s="57">
        <v>278</v>
      </c>
      <c r="V547" s="57">
        <v>0</v>
      </c>
    </row>
    <row r="548" spans="1:22" ht="15.75" customHeight="1" x14ac:dyDescent="0.3">
      <c r="A548" s="57" t="s">
        <v>571</v>
      </c>
      <c r="B548" s="57" t="s">
        <v>604</v>
      </c>
      <c r="C548" s="58" t="s">
        <v>1277</v>
      </c>
      <c r="D548" s="58" t="s">
        <v>1127</v>
      </c>
      <c r="E548" s="59" t="s">
        <v>1290</v>
      </c>
      <c r="F548" s="55" t="s">
        <v>571</v>
      </c>
      <c r="G548" s="55" t="s">
        <v>604</v>
      </c>
      <c r="H548" t="s">
        <v>91</v>
      </c>
      <c r="I548" t="s">
        <v>91</v>
      </c>
      <c r="J548">
        <v>0</v>
      </c>
      <c r="K548" s="60">
        <v>44008000058</v>
      </c>
      <c r="L548" s="60" t="s">
        <v>791</v>
      </c>
      <c r="M548" s="57">
        <v>0</v>
      </c>
      <c r="N548" s="57">
        <v>2.12</v>
      </c>
      <c r="O548" s="57">
        <v>0</v>
      </c>
      <c r="Q548">
        <v>590</v>
      </c>
      <c r="R548" t="s">
        <v>1049</v>
      </c>
      <c r="T548" s="57">
        <v>0</v>
      </c>
      <c r="U548" s="57">
        <v>2.12</v>
      </c>
      <c r="V548" s="57">
        <v>0</v>
      </c>
    </row>
    <row r="549" spans="1:22" ht="15.75" customHeight="1" x14ac:dyDescent="0.3">
      <c r="A549" s="57" t="s">
        <v>571</v>
      </c>
      <c r="B549" s="57" t="s">
        <v>604</v>
      </c>
      <c r="C549" s="58" t="s">
        <v>1277</v>
      </c>
      <c r="D549" s="58" t="s">
        <v>1127</v>
      </c>
      <c r="E549" s="59" t="s">
        <v>1290</v>
      </c>
      <c r="F549" s="55" t="s">
        <v>571</v>
      </c>
      <c r="G549" s="55" t="s">
        <v>604</v>
      </c>
      <c r="H549" t="s">
        <v>91</v>
      </c>
      <c r="I549" t="s">
        <v>91</v>
      </c>
      <c r="J549">
        <v>0</v>
      </c>
      <c r="K549" s="60">
        <v>44008000019</v>
      </c>
      <c r="L549" s="60" t="s">
        <v>792</v>
      </c>
      <c r="M549" s="57">
        <v>50.2</v>
      </c>
      <c r="N549" s="57">
        <v>0</v>
      </c>
      <c r="O549" s="57">
        <v>0</v>
      </c>
      <c r="Q549">
        <v>590</v>
      </c>
      <c r="R549" t="s">
        <v>1045</v>
      </c>
      <c r="T549" s="57">
        <v>50.2</v>
      </c>
      <c r="U549" s="57">
        <v>0</v>
      </c>
      <c r="V549" s="57">
        <v>0</v>
      </c>
    </row>
    <row r="550" spans="1:22" ht="15.75" customHeight="1" x14ac:dyDescent="0.3">
      <c r="A550" s="57" t="s">
        <v>571</v>
      </c>
      <c r="B550" s="57" t="s">
        <v>572</v>
      </c>
      <c r="C550" s="58" t="s">
        <v>1291</v>
      </c>
      <c r="D550" s="58" t="s">
        <v>92</v>
      </c>
      <c r="E550" s="59" t="s">
        <v>1292</v>
      </c>
      <c r="F550" s="55" t="s">
        <v>571</v>
      </c>
      <c r="G550" s="55" t="s">
        <v>572</v>
      </c>
      <c r="H550" t="s">
        <v>793</v>
      </c>
      <c r="I550" t="s">
        <v>793</v>
      </c>
      <c r="J550">
        <v>0</v>
      </c>
      <c r="K550" s="60">
        <v>55113000001</v>
      </c>
      <c r="L550" s="60" t="s">
        <v>794</v>
      </c>
      <c r="M550" s="57">
        <v>-19.649999999999999</v>
      </c>
      <c r="N550" s="57">
        <v>-4618.4799999999996</v>
      </c>
      <c r="O550" s="57">
        <v>-88.44</v>
      </c>
      <c r="Q550">
        <v>600</v>
      </c>
      <c r="R550" t="s">
        <v>1050</v>
      </c>
      <c r="S550" t="s">
        <v>1056</v>
      </c>
      <c r="T550" s="57">
        <v>-19.649999999999999</v>
      </c>
      <c r="U550" s="57">
        <v>-4618.4799999999996</v>
      </c>
      <c r="V550" s="57">
        <v>-88.44</v>
      </c>
    </row>
    <row r="551" spans="1:22" ht="15.75" customHeight="1" x14ac:dyDescent="0.3">
      <c r="A551" s="57" t="s">
        <v>571</v>
      </c>
      <c r="B551" s="57" t="s">
        <v>572</v>
      </c>
      <c r="C551" s="58" t="s">
        <v>1291</v>
      </c>
      <c r="D551" s="58" t="s">
        <v>92</v>
      </c>
      <c r="E551" s="59" t="s">
        <v>1292</v>
      </c>
      <c r="F551" s="55" t="s">
        <v>571</v>
      </c>
      <c r="G551" s="55" t="s">
        <v>572</v>
      </c>
      <c r="H551" t="s">
        <v>793</v>
      </c>
      <c r="I551" t="s">
        <v>793</v>
      </c>
      <c r="J551">
        <v>0</v>
      </c>
      <c r="K551" s="60">
        <v>55113000002</v>
      </c>
      <c r="L551" s="60" t="s">
        <v>795</v>
      </c>
      <c r="M551" s="57">
        <v>-63454.99</v>
      </c>
      <c r="N551" s="57">
        <v>0</v>
      </c>
      <c r="O551" s="57">
        <v>-1096.44</v>
      </c>
      <c r="Q551">
        <v>600</v>
      </c>
      <c r="R551" t="s">
        <v>1050</v>
      </c>
      <c r="S551" t="s">
        <v>1056</v>
      </c>
      <c r="T551" s="57">
        <v>-63454.99</v>
      </c>
      <c r="U551" s="57">
        <v>0</v>
      </c>
      <c r="V551" s="57">
        <v>-1096.44</v>
      </c>
    </row>
    <row r="552" spans="1:22" ht="15.75" customHeight="1" x14ac:dyDescent="0.3">
      <c r="A552" s="57" t="s">
        <v>571</v>
      </c>
      <c r="B552" s="57" t="s">
        <v>572</v>
      </c>
      <c r="C552" s="58" t="s">
        <v>1291</v>
      </c>
      <c r="D552" s="58" t="s">
        <v>92</v>
      </c>
      <c r="E552" s="59" t="s">
        <v>1292</v>
      </c>
      <c r="F552" s="55" t="s">
        <v>571</v>
      </c>
      <c r="G552" s="55" t="s">
        <v>572</v>
      </c>
      <c r="H552" t="s">
        <v>793</v>
      </c>
      <c r="I552" t="s">
        <v>793</v>
      </c>
      <c r="J552">
        <v>0</v>
      </c>
      <c r="K552" s="60">
        <v>55113000004</v>
      </c>
      <c r="L552" s="60" t="s">
        <v>796</v>
      </c>
      <c r="M552" s="57">
        <v>0</v>
      </c>
      <c r="N552" s="57">
        <v>0</v>
      </c>
      <c r="O552" s="57">
        <v>-1157.56</v>
      </c>
      <c r="Q552">
        <v>600</v>
      </c>
      <c r="R552" t="s">
        <v>1050</v>
      </c>
      <c r="S552" t="s">
        <v>1056</v>
      </c>
      <c r="T552" s="57">
        <v>0</v>
      </c>
      <c r="U552" s="57">
        <v>0</v>
      </c>
      <c r="V552" s="57">
        <v>-1157.56</v>
      </c>
    </row>
    <row r="553" spans="1:22" ht="15.75" customHeight="1" x14ac:dyDescent="0.3">
      <c r="A553" s="57" t="s">
        <v>571</v>
      </c>
      <c r="B553" s="57" t="s">
        <v>572</v>
      </c>
      <c r="C553" s="58" t="s">
        <v>1291</v>
      </c>
      <c r="D553" s="58" t="s">
        <v>92</v>
      </c>
      <c r="E553" s="59" t="s">
        <v>1292</v>
      </c>
      <c r="F553" s="55" t="s">
        <v>571</v>
      </c>
      <c r="G553" s="55" t="s">
        <v>572</v>
      </c>
      <c r="H553" t="s">
        <v>793</v>
      </c>
      <c r="I553" t="s">
        <v>793</v>
      </c>
      <c r="J553">
        <v>0</v>
      </c>
      <c r="K553" s="60">
        <v>55113000006</v>
      </c>
      <c r="L553" s="60" t="s">
        <v>797</v>
      </c>
      <c r="M553" s="57">
        <v>-13462.63</v>
      </c>
      <c r="N553" s="57">
        <v>-15102.01</v>
      </c>
      <c r="O553" s="57">
        <v>-14381.210000000006</v>
      </c>
      <c r="Q553">
        <v>600</v>
      </c>
      <c r="R553" t="s">
        <v>1050</v>
      </c>
      <c r="S553" t="s">
        <v>1057</v>
      </c>
      <c r="T553" s="57">
        <v>-13462.63</v>
      </c>
      <c r="U553" s="57">
        <v>-15102.01</v>
      </c>
      <c r="V553" s="57">
        <v>-99865.5</v>
      </c>
    </row>
    <row r="554" spans="1:22" ht="15.75" customHeight="1" x14ac:dyDescent="0.3">
      <c r="A554" s="57" t="s">
        <v>571</v>
      </c>
      <c r="B554" s="57" t="s">
        <v>604</v>
      </c>
      <c r="C554" s="58" t="s">
        <v>1291</v>
      </c>
      <c r="D554" s="58" t="s">
        <v>1293</v>
      </c>
      <c r="E554" s="59" t="s">
        <v>1294</v>
      </c>
      <c r="F554" s="55" t="s">
        <v>571</v>
      </c>
      <c r="G554" s="55" t="s">
        <v>604</v>
      </c>
      <c r="H554" t="s">
        <v>793</v>
      </c>
      <c r="I554" t="s">
        <v>793</v>
      </c>
      <c r="J554">
        <v>0</v>
      </c>
      <c r="K554" s="60">
        <v>44104000002</v>
      </c>
      <c r="L554" s="60" t="s">
        <v>798</v>
      </c>
      <c r="M554" s="57">
        <v>149843.5</v>
      </c>
      <c r="N554" s="57">
        <v>161329.53</v>
      </c>
      <c r="O554" s="57">
        <v>240896.38</v>
      </c>
      <c r="Q554">
        <v>600</v>
      </c>
      <c r="R554" t="s">
        <v>1051</v>
      </c>
      <c r="S554" t="s">
        <v>1058</v>
      </c>
      <c r="T554" s="57">
        <v>149843.5</v>
      </c>
      <c r="U554" s="57">
        <v>161329.53</v>
      </c>
      <c r="V554" s="57">
        <v>240896.38</v>
      </c>
    </row>
    <row r="555" spans="1:22" ht="15.75" customHeight="1" x14ac:dyDescent="0.3">
      <c r="A555" s="57" t="s">
        <v>571</v>
      </c>
      <c r="B555" s="57" t="s">
        <v>604</v>
      </c>
      <c r="C555" s="58" t="s">
        <v>1291</v>
      </c>
      <c r="D555" s="58" t="s">
        <v>1293</v>
      </c>
      <c r="E555" s="59" t="s">
        <v>1294</v>
      </c>
      <c r="F555" s="55" t="s">
        <v>571</v>
      </c>
      <c r="G555" s="55" t="s">
        <v>604</v>
      </c>
      <c r="H555" t="s">
        <v>793</v>
      </c>
      <c r="I555" t="s">
        <v>793</v>
      </c>
      <c r="J555">
        <v>0</v>
      </c>
      <c r="K555" s="60">
        <v>44104000003</v>
      </c>
      <c r="L555" s="60" t="s">
        <v>799</v>
      </c>
      <c r="M555" s="57">
        <v>65625.009999999995</v>
      </c>
      <c r="N555" s="57">
        <v>69949.78</v>
      </c>
      <c r="O555" s="57">
        <v>54547.73</v>
      </c>
      <c r="Q555">
        <v>600</v>
      </c>
      <c r="R555" t="s">
        <v>1051</v>
      </c>
      <c r="S555" t="s">
        <v>1059</v>
      </c>
      <c r="T555" s="57">
        <v>65625.009999999995</v>
      </c>
      <c r="U555" s="57">
        <v>69949.78</v>
      </c>
      <c r="V555" s="57">
        <v>54547.73</v>
      </c>
    </row>
    <row r="556" spans="1:22" ht="15.75" customHeight="1" x14ac:dyDescent="0.3">
      <c r="A556" s="57" t="s">
        <v>571</v>
      </c>
      <c r="B556" s="57" t="s">
        <v>604</v>
      </c>
      <c r="C556" s="58" t="s">
        <v>1291</v>
      </c>
      <c r="D556" s="58" t="s">
        <v>1293</v>
      </c>
      <c r="E556" s="59" t="s">
        <v>1294</v>
      </c>
      <c r="F556" s="55" t="s">
        <v>571</v>
      </c>
      <c r="G556" s="55" t="s">
        <v>604</v>
      </c>
      <c r="H556" t="s">
        <v>793</v>
      </c>
      <c r="I556" t="s">
        <v>793</v>
      </c>
      <c r="J556">
        <v>0</v>
      </c>
      <c r="K556" s="60">
        <v>44104000004</v>
      </c>
      <c r="L556" s="60" t="s">
        <v>800</v>
      </c>
      <c r="M556" s="57">
        <v>108080.71</v>
      </c>
      <c r="N556" s="57">
        <v>148688.4</v>
      </c>
      <c r="O556" s="57">
        <v>125068.75</v>
      </c>
      <c r="Q556">
        <v>600</v>
      </c>
      <c r="R556" t="s">
        <v>1051</v>
      </c>
      <c r="S556" t="s">
        <v>1059</v>
      </c>
      <c r="T556" s="57">
        <v>108080.71</v>
      </c>
      <c r="U556" s="57">
        <v>148688.4</v>
      </c>
      <c r="V556" s="57">
        <v>125068.75</v>
      </c>
    </row>
    <row r="557" spans="1:22" ht="15.75" customHeight="1" x14ac:dyDescent="0.3">
      <c r="A557" s="57" t="s">
        <v>571</v>
      </c>
      <c r="B557" s="57" t="s">
        <v>604</v>
      </c>
      <c r="C557" s="58" t="s">
        <v>1291</v>
      </c>
      <c r="D557" s="58" t="s">
        <v>1293</v>
      </c>
      <c r="E557" s="59" t="s">
        <v>1294</v>
      </c>
      <c r="F557" s="55" t="s">
        <v>571</v>
      </c>
      <c r="G557" s="55" t="s">
        <v>604</v>
      </c>
      <c r="H557" t="s">
        <v>793</v>
      </c>
      <c r="I557" t="s">
        <v>793</v>
      </c>
      <c r="J557">
        <v>0</v>
      </c>
      <c r="K557" s="60">
        <v>44104000007</v>
      </c>
      <c r="L557" s="60" t="s">
        <v>801</v>
      </c>
      <c r="M557" s="57">
        <v>6294.29</v>
      </c>
      <c r="N557" s="57">
        <v>24182.97</v>
      </c>
      <c r="O557" s="57">
        <v>24493.58</v>
      </c>
      <c r="Q557">
        <v>600</v>
      </c>
      <c r="R557" t="s">
        <v>1051</v>
      </c>
      <c r="S557" t="s">
        <v>1060</v>
      </c>
      <c r="T557" s="57">
        <v>6294.29</v>
      </c>
      <c r="U557" s="57">
        <v>24182.97</v>
      </c>
      <c r="V557" s="57">
        <v>24493.58</v>
      </c>
    </row>
    <row r="558" spans="1:22" ht="15.75" customHeight="1" x14ac:dyDescent="0.3">
      <c r="A558" s="57" t="s">
        <v>571</v>
      </c>
      <c r="B558" s="57" t="s">
        <v>604</v>
      </c>
      <c r="C558" s="58" t="s">
        <v>1291</v>
      </c>
      <c r="D558" s="58" t="s">
        <v>1293</v>
      </c>
      <c r="E558" s="59" t="s">
        <v>1294</v>
      </c>
      <c r="F558" s="55" t="s">
        <v>571</v>
      </c>
      <c r="G558" s="55" t="s">
        <v>604</v>
      </c>
      <c r="H558" t="s">
        <v>793</v>
      </c>
      <c r="I558" t="s">
        <v>793</v>
      </c>
      <c r="J558">
        <v>0</v>
      </c>
      <c r="K558" s="60">
        <v>44104000008</v>
      </c>
      <c r="L558" s="60" t="s">
        <v>802</v>
      </c>
      <c r="M558" s="57">
        <v>20348.86</v>
      </c>
      <c r="N558" s="57">
        <v>17389.099999999999</v>
      </c>
      <c r="O558" s="57">
        <v>16328.440000000002</v>
      </c>
      <c r="Q558">
        <v>600</v>
      </c>
      <c r="R558" t="s">
        <v>1051</v>
      </c>
      <c r="S558" t="s">
        <v>1060</v>
      </c>
      <c r="T558" s="57">
        <v>20348.86</v>
      </c>
      <c r="U558" s="57">
        <v>27489.1</v>
      </c>
      <c r="V558" s="57">
        <v>34228.44</v>
      </c>
    </row>
    <row r="559" spans="1:22" ht="15.75" customHeight="1" x14ac:dyDescent="0.3">
      <c r="A559" s="57" t="s">
        <v>571</v>
      </c>
      <c r="B559" s="57" t="s">
        <v>604</v>
      </c>
      <c r="C559" s="58" t="s">
        <v>1291</v>
      </c>
      <c r="D559" s="58" t="s">
        <v>1293</v>
      </c>
      <c r="E559" s="59" t="s">
        <v>1294</v>
      </c>
      <c r="F559" s="55" t="s">
        <v>571</v>
      </c>
      <c r="G559" s="55" t="s">
        <v>604</v>
      </c>
      <c r="H559" t="s">
        <v>638</v>
      </c>
      <c r="I559" t="s">
        <v>638</v>
      </c>
      <c r="J559">
        <v>0</v>
      </c>
      <c r="K559" s="60">
        <v>44104000009</v>
      </c>
      <c r="L559" s="60" t="s">
        <v>803</v>
      </c>
      <c r="M559" s="57">
        <v>61874.06</v>
      </c>
      <c r="N559" s="57">
        <v>61852.27</v>
      </c>
      <c r="O559" s="57">
        <v>63549.52</v>
      </c>
      <c r="Q559">
        <v>550</v>
      </c>
      <c r="R559" t="s">
        <v>1037</v>
      </c>
      <c r="T559" s="57">
        <v>61874.06</v>
      </c>
      <c r="U559" s="57">
        <v>61852.27</v>
      </c>
      <c r="V559" s="57">
        <v>63549.52</v>
      </c>
    </row>
    <row r="560" spans="1:22" ht="15.75" customHeight="1" x14ac:dyDescent="0.3">
      <c r="A560" s="57" t="s">
        <v>571</v>
      </c>
      <c r="B560" s="57" t="s">
        <v>604</v>
      </c>
      <c r="C560" s="58" t="s">
        <v>1291</v>
      </c>
      <c r="D560" s="58" t="s">
        <v>1293</v>
      </c>
      <c r="E560" s="59" t="s">
        <v>1294</v>
      </c>
      <c r="F560" s="55" t="s">
        <v>571</v>
      </c>
      <c r="G560" s="55" t="s">
        <v>604</v>
      </c>
      <c r="H560" t="s">
        <v>793</v>
      </c>
      <c r="I560" t="s">
        <v>793</v>
      </c>
      <c r="J560">
        <v>0</v>
      </c>
      <c r="K560" s="60">
        <v>44104000010</v>
      </c>
      <c r="L560" s="60" t="s">
        <v>804</v>
      </c>
      <c r="M560" s="57">
        <v>420435.39</v>
      </c>
      <c r="N560" s="57">
        <v>384080.24</v>
      </c>
      <c r="O560" s="57">
        <v>285276.02</v>
      </c>
      <c r="Q560">
        <v>600</v>
      </c>
      <c r="R560" t="s">
        <v>1051</v>
      </c>
      <c r="S560" t="s">
        <v>1059</v>
      </c>
      <c r="T560" s="57">
        <v>420435.39</v>
      </c>
      <c r="U560" s="57">
        <v>384080.24</v>
      </c>
      <c r="V560" s="57">
        <v>285276.02</v>
      </c>
    </row>
    <row r="561" spans="1:22" ht="15.75" customHeight="1" x14ac:dyDescent="0.3">
      <c r="A561" s="57" t="s">
        <v>571</v>
      </c>
      <c r="B561" s="57" t="s">
        <v>604</v>
      </c>
      <c r="C561" s="58" t="s">
        <v>1291</v>
      </c>
      <c r="D561" s="58" t="s">
        <v>1293</v>
      </c>
      <c r="E561" s="59" t="s">
        <v>1294</v>
      </c>
      <c r="F561" s="55" t="s">
        <v>571</v>
      </c>
      <c r="G561" s="55" t="s">
        <v>604</v>
      </c>
      <c r="H561" t="s">
        <v>793</v>
      </c>
      <c r="I561" t="s">
        <v>793</v>
      </c>
      <c r="J561">
        <v>0</v>
      </c>
      <c r="K561" s="60">
        <v>44104000014</v>
      </c>
      <c r="L561" s="60" t="s">
        <v>805</v>
      </c>
      <c r="M561" s="57">
        <v>603.62</v>
      </c>
      <c r="N561" s="57">
        <v>0</v>
      </c>
      <c r="O561" s="57">
        <v>0</v>
      </c>
      <c r="Q561">
        <v>600</v>
      </c>
      <c r="R561" t="s">
        <v>1051</v>
      </c>
      <c r="S561" t="s">
        <v>1059</v>
      </c>
      <c r="T561" s="57">
        <v>603.62</v>
      </c>
      <c r="U561" s="57">
        <v>0</v>
      </c>
      <c r="V561" s="57">
        <v>0</v>
      </c>
    </row>
    <row r="562" spans="1:22" ht="15.75" customHeight="1" x14ac:dyDescent="0.3">
      <c r="A562" s="57" t="s">
        <v>571</v>
      </c>
      <c r="B562" s="57" t="s">
        <v>604</v>
      </c>
      <c r="C562" s="58" t="s">
        <v>1291</v>
      </c>
      <c r="D562" s="58" t="s">
        <v>1293</v>
      </c>
      <c r="E562" s="59" t="s">
        <v>1294</v>
      </c>
      <c r="F562" s="55" t="s">
        <v>571</v>
      </c>
      <c r="G562" s="55" t="s">
        <v>604</v>
      </c>
      <c r="H562" t="s">
        <v>793</v>
      </c>
      <c r="I562" t="s">
        <v>793</v>
      </c>
      <c r="J562">
        <v>0</v>
      </c>
      <c r="K562" s="60">
        <v>44104000012</v>
      </c>
      <c r="L562" s="60" t="s">
        <v>806</v>
      </c>
      <c r="M562" s="57">
        <v>0</v>
      </c>
      <c r="N562" s="57">
        <v>870.79</v>
      </c>
      <c r="O562" s="57">
        <v>1127.75</v>
      </c>
      <c r="Q562">
        <v>600</v>
      </c>
      <c r="R562" t="s">
        <v>1051</v>
      </c>
      <c r="S562" t="s">
        <v>1058</v>
      </c>
      <c r="T562" s="57">
        <v>0</v>
      </c>
      <c r="U562" s="57">
        <v>870.79</v>
      </c>
      <c r="V562" s="57">
        <v>1127.75</v>
      </c>
    </row>
    <row r="563" spans="1:22" ht="15.75" customHeight="1" x14ac:dyDescent="0.3">
      <c r="A563" s="57" t="s">
        <v>571</v>
      </c>
      <c r="B563" s="57" t="s">
        <v>604</v>
      </c>
      <c r="C563" s="58" t="s">
        <v>1295</v>
      </c>
      <c r="D563" s="58" t="s">
        <v>1296</v>
      </c>
      <c r="E563" s="59" t="s">
        <v>1297</v>
      </c>
      <c r="F563" s="55" t="s">
        <v>571</v>
      </c>
      <c r="G563" s="55" t="s">
        <v>604</v>
      </c>
      <c r="H563" t="s">
        <v>91</v>
      </c>
      <c r="I563" t="s">
        <v>91</v>
      </c>
      <c r="J563">
        <v>0</v>
      </c>
      <c r="K563" s="60">
        <v>44303000101</v>
      </c>
      <c r="L563" s="60" t="s">
        <v>807</v>
      </c>
      <c r="M563" s="57">
        <v>0</v>
      </c>
      <c r="N563" s="57">
        <v>284.47000000000003</v>
      </c>
      <c r="O563" s="57">
        <v>0</v>
      </c>
      <c r="Q563">
        <v>590</v>
      </c>
      <c r="R563" t="s">
        <v>1052</v>
      </c>
      <c r="T563" s="57">
        <v>0</v>
      </c>
      <c r="U563" s="57">
        <v>284.47000000000003</v>
      </c>
      <c r="V563" s="57">
        <v>0</v>
      </c>
    </row>
    <row r="564" spans="1:22" ht="15.75" customHeight="1" x14ac:dyDescent="0.3">
      <c r="A564" s="57" t="s">
        <v>571</v>
      </c>
      <c r="B564" s="57" t="s">
        <v>604</v>
      </c>
      <c r="C564" s="58" t="s">
        <v>1295</v>
      </c>
      <c r="D564" s="58" t="s">
        <v>1296</v>
      </c>
      <c r="E564" s="59" t="s">
        <v>1297</v>
      </c>
      <c r="F564" s="55" t="s">
        <v>571</v>
      </c>
      <c r="G564" s="55" t="s">
        <v>604</v>
      </c>
      <c r="H564" t="s">
        <v>91</v>
      </c>
      <c r="I564" t="s">
        <v>91</v>
      </c>
      <c r="J564">
        <v>0</v>
      </c>
      <c r="K564" s="60">
        <v>44303000001</v>
      </c>
      <c r="L564" s="60" t="s">
        <v>808</v>
      </c>
      <c r="M564" s="57">
        <v>432776.71</v>
      </c>
      <c r="N564" s="57">
        <v>106709.7</v>
      </c>
      <c r="O564" s="57">
        <v>15413.54</v>
      </c>
      <c r="Q564">
        <v>590</v>
      </c>
      <c r="R564" t="s">
        <v>1052</v>
      </c>
      <c r="T564" s="57">
        <v>432776.71</v>
      </c>
      <c r="U564" s="57">
        <v>106709.7</v>
      </c>
      <c r="V564" s="57">
        <v>169482.34</v>
      </c>
    </row>
    <row r="565" spans="1:22" ht="15.75" customHeight="1" x14ac:dyDescent="0.3">
      <c r="A565" s="57" t="s">
        <v>571</v>
      </c>
      <c r="B565" s="57" t="s">
        <v>604</v>
      </c>
      <c r="C565" s="58" t="s">
        <v>1295</v>
      </c>
      <c r="D565" s="58" t="s">
        <v>1296</v>
      </c>
      <c r="E565" s="59" t="s">
        <v>1297</v>
      </c>
      <c r="F565" s="55" t="s">
        <v>571</v>
      </c>
      <c r="G565" s="55" t="s">
        <v>604</v>
      </c>
      <c r="H565" t="s">
        <v>91</v>
      </c>
      <c r="I565" t="s">
        <v>91</v>
      </c>
      <c r="J565">
        <v>0</v>
      </c>
      <c r="K565" s="60">
        <v>44303000002</v>
      </c>
      <c r="L565" s="60" t="s">
        <v>809</v>
      </c>
      <c r="M565" s="57">
        <v>0</v>
      </c>
      <c r="N565" s="57">
        <v>0</v>
      </c>
      <c r="O565" s="57">
        <v>5372.57</v>
      </c>
      <c r="Q565">
        <v>590</v>
      </c>
      <c r="R565" t="s">
        <v>1052</v>
      </c>
      <c r="T565" s="57">
        <v>0</v>
      </c>
      <c r="U565" s="57">
        <v>0</v>
      </c>
      <c r="V565" s="57">
        <v>5372.57</v>
      </c>
    </row>
    <row r="566" spans="1:22" ht="15.75" customHeight="1" x14ac:dyDescent="0.3">
      <c r="A566" s="57" t="s">
        <v>571</v>
      </c>
      <c r="B566" s="57" t="s">
        <v>604</v>
      </c>
      <c r="C566" s="58" t="s">
        <v>1295</v>
      </c>
      <c r="D566" s="58" t="s">
        <v>1296</v>
      </c>
      <c r="E566" s="59" t="s">
        <v>1297</v>
      </c>
      <c r="F566" s="55" t="s">
        <v>571</v>
      </c>
      <c r="G566" s="55" t="s">
        <v>604</v>
      </c>
      <c r="H566" t="s">
        <v>91</v>
      </c>
      <c r="I566" t="s">
        <v>91</v>
      </c>
      <c r="J566">
        <v>0</v>
      </c>
      <c r="K566" s="60">
        <v>44303000003</v>
      </c>
      <c r="L566" s="60" t="s">
        <v>810</v>
      </c>
      <c r="M566" s="57">
        <v>0</v>
      </c>
      <c r="N566" s="57">
        <v>0</v>
      </c>
      <c r="O566" s="57">
        <v>8988.84</v>
      </c>
      <c r="Q566">
        <v>590</v>
      </c>
      <c r="R566" t="s">
        <v>1052</v>
      </c>
      <c r="T566" s="57">
        <v>0</v>
      </c>
      <c r="U566" s="57">
        <v>0</v>
      </c>
      <c r="V566" s="57">
        <v>8988.84</v>
      </c>
    </row>
    <row r="567" spans="1:22" ht="15.75" customHeight="1" x14ac:dyDescent="0.3">
      <c r="A567" s="57" t="s">
        <v>571</v>
      </c>
      <c r="B567" s="57" t="s">
        <v>604</v>
      </c>
      <c r="C567" s="58" t="s">
        <v>1295</v>
      </c>
      <c r="D567" s="58" t="s">
        <v>1296</v>
      </c>
      <c r="E567" s="59" t="s">
        <v>1297</v>
      </c>
      <c r="F567" s="55" t="s">
        <v>571</v>
      </c>
      <c r="G567" s="55" t="s">
        <v>604</v>
      </c>
      <c r="H567" t="s">
        <v>91</v>
      </c>
      <c r="I567" t="s">
        <v>91</v>
      </c>
      <c r="J567">
        <v>0</v>
      </c>
      <c r="K567" s="60">
        <v>44303000005</v>
      </c>
      <c r="L567" s="60" t="s">
        <v>811</v>
      </c>
      <c r="M567" s="57">
        <v>21000</v>
      </c>
      <c r="N567" s="57">
        <v>42200</v>
      </c>
      <c r="O567" s="57">
        <v>47973.39</v>
      </c>
      <c r="Q567">
        <v>590</v>
      </c>
      <c r="R567" t="s">
        <v>1048</v>
      </c>
      <c r="T567" s="57">
        <v>21000</v>
      </c>
      <c r="U567" s="57">
        <v>42200</v>
      </c>
      <c r="V567" s="57">
        <v>47973.39</v>
      </c>
    </row>
    <row r="568" spans="1:22" s="79" customFormat="1" ht="15.75" customHeight="1" x14ac:dyDescent="0.3">
      <c r="A568" s="57" t="s">
        <v>571</v>
      </c>
      <c r="B568" s="57" t="s">
        <v>604</v>
      </c>
      <c r="C568" s="58" t="s">
        <v>1295</v>
      </c>
      <c r="D568" s="58" t="s">
        <v>1296</v>
      </c>
      <c r="E568" s="59" t="s">
        <v>1297</v>
      </c>
      <c r="F568" s="55" t="s">
        <v>571</v>
      </c>
      <c r="G568" s="55" t="s">
        <v>604</v>
      </c>
      <c r="H568" t="s">
        <v>91</v>
      </c>
      <c r="I568" t="s">
        <v>91</v>
      </c>
      <c r="J568">
        <v>0</v>
      </c>
      <c r="K568" s="60">
        <v>44303000112</v>
      </c>
      <c r="L568" s="60" t="s">
        <v>812</v>
      </c>
      <c r="M568" s="57">
        <v>0</v>
      </c>
      <c r="N568" s="57">
        <v>0</v>
      </c>
      <c r="O568" s="57">
        <v>184</v>
      </c>
      <c r="Q568">
        <v>590</v>
      </c>
      <c r="R568" t="s">
        <v>1049</v>
      </c>
      <c r="S568"/>
      <c r="T568" s="57">
        <v>0</v>
      </c>
      <c r="U568" s="57">
        <v>0</v>
      </c>
      <c r="V568" s="57">
        <v>184</v>
      </c>
    </row>
    <row r="569" spans="1:22" ht="15.75" customHeight="1" x14ac:dyDescent="0.3">
      <c r="A569" s="57" t="s">
        <v>571</v>
      </c>
      <c r="B569" s="57" t="s">
        <v>572</v>
      </c>
      <c r="C569" s="58" t="s">
        <v>1295</v>
      </c>
      <c r="D569" s="58" t="s">
        <v>1298</v>
      </c>
      <c r="E569" s="59" t="s">
        <v>1299</v>
      </c>
      <c r="F569" s="55" t="s">
        <v>571</v>
      </c>
      <c r="G569" s="55" t="s">
        <v>572</v>
      </c>
      <c r="H569" t="s">
        <v>144</v>
      </c>
      <c r="I569" t="s">
        <v>144</v>
      </c>
      <c r="J569">
        <v>0</v>
      </c>
      <c r="K569" s="60">
        <v>55302000001</v>
      </c>
      <c r="L569" s="60" t="s">
        <v>145</v>
      </c>
      <c r="M569" s="57">
        <v>-425321.71</v>
      </c>
      <c r="N569" s="57">
        <v>-161054.24</v>
      </c>
      <c r="O569" s="57">
        <v>-53016.639999999999</v>
      </c>
      <c r="Q569">
        <v>520</v>
      </c>
      <c r="R569" t="s">
        <v>1034</v>
      </c>
      <c r="T569" s="57">
        <v>-425321.71</v>
      </c>
      <c r="U569" s="57">
        <v>-161054.24</v>
      </c>
      <c r="V569" s="57">
        <v>-53016.639999999999</v>
      </c>
    </row>
    <row r="570" spans="1:22" ht="15.75" customHeight="1" x14ac:dyDescent="0.3">
      <c r="A570" s="57" t="s">
        <v>571</v>
      </c>
      <c r="B570" s="57" t="s">
        <v>604</v>
      </c>
      <c r="C570" s="58" t="s">
        <v>95</v>
      </c>
      <c r="D570" s="58" t="s">
        <v>95</v>
      </c>
      <c r="E570" s="59" t="s">
        <v>1300</v>
      </c>
      <c r="F570" s="55" t="s">
        <v>571</v>
      </c>
      <c r="G570" s="55" t="s">
        <v>604</v>
      </c>
      <c r="H570" t="s">
        <v>813</v>
      </c>
      <c r="I570" t="s">
        <v>813</v>
      </c>
      <c r="J570">
        <v>0</v>
      </c>
      <c r="K570" s="60">
        <v>44008000042</v>
      </c>
      <c r="L570" s="60" t="s">
        <v>814</v>
      </c>
      <c r="M570" s="57">
        <v>120758</v>
      </c>
      <c r="N570" s="57">
        <v>111779</v>
      </c>
      <c r="O570" s="57">
        <v>110358.77</v>
      </c>
      <c r="Q570">
        <v>620</v>
      </c>
      <c r="R570" t="s">
        <v>1053</v>
      </c>
      <c r="S570" t="s">
        <v>1061</v>
      </c>
      <c r="T570" s="57">
        <v>120758</v>
      </c>
      <c r="U570" s="57">
        <v>111779</v>
      </c>
      <c r="V570" s="57">
        <v>0</v>
      </c>
    </row>
    <row r="571" spans="1:22" ht="15.75" customHeight="1" x14ac:dyDescent="0.3">
      <c r="A571" s="57" t="s">
        <v>571</v>
      </c>
      <c r="B571" s="57" t="s">
        <v>604</v>
      </c>
      <c r="C571" s="58" t="s">
        <v>95</v>
      </c>
      <c r="D571" s="58" t="s">
        <v>95</v>
      </c>
      <c r="E571" s="59" t="s">
        <v>1300</v>
      </c>
      <c r="F571" s="55" t="s">
        <v>571</v>
      </c>
      <c r="G571" s="55" t="s">
        <v>604</v>
      </c>
      <c r="H571" t="s">
        <v>813</v>
      </c>
      <c r="I571" t="s">
        <v>813</v>
      </c>
      <c r="J571">
        <v>0</v>
      </c>
      <c r="K571" s="60">
        <v>44008000043</v>
      </c>
      <c r="L571" s="60" t="s">
        <v>815</v>
      </c>
      <c r="M571" s="57">
        <v>112505</v>
      </c>
      <c r="N571" s="57">
        <v>119219</v>
      </c>
      <c r="O571" s="57">
        <v>62283.17</v>
      </c>
      <c r="Q571">
        <v>620</v>
      </c>
      <c r="R571" t="s">
        <v>1053</v>
      </c>
      <c r="S571" t="s">
        <v>1062</v>
      </c>
      <c r="T571" s="57">
        <v>112505</v>
      </c>
      <c r="U571" s="57">
        <v>119219</v>
      </c>
      <c r="V571" s="57">
        <v>0</v>
      </c>
    </row>
    <row r="572" spans="1:22" ht="15.75" customHeight="1" x14ac:dyDescent="0.3">
      <c r="A572" s="57" t="s">
        <v>571</v>
      </c>
      <c r="B572" s="57" t="s">
        <v>604</v>
      </c>
      <c r="C572" s="58" t="s">
        <v>95</v>
      </c>
      <c r="D572" s="58" t="s">
        <v>95</v>
      </c>
      <c r="E572" s="59" t="s">
        <v>1300</v>
      </c>
      <c r="F572" s="55" t="s">
        <v>571</v>
      </c>
      <c r="G572" s="55" t="s">
        <v>604</v>
      </c>
      <c r="H572" t="s">
        <v>813</v>
      </c>
      <c r="I572" t="s">
        <v>813</v>
      </c>
      <c r="J572">
        <v>0</v>
      </c>
      <c r="K572" s="60">
        <v>44008000050</v>
      </c>
      <c r="L572" s="60" t="s">
        <v>816</v>
      </c>
      <c r="M572" s="57">
        <v>-30365</v>
      </c>
      <c r="N572" s="57">
        <v>-21452</v>
      </c>
      <c r="O572" s="57">
        <v>-7761.51</v>
      </c>
      <c r="Q572">
        <v>620</v>
      </c>
      <c r="R572" t="s">
        <v>1054</v>
      </c>
      <c r="S572" t="s">
        <v>1063</v>
      </c>
      <c r="T572" s="57">
        <v>-30365</v>
      </c>
      <c r="U572" s="57">
        <v>-21452</v>
      </c>
      <c r="V572" s="57">
        <v>-7761.51</v>
      </c>
    </row>
    <row r="573" spans="1:22" ht="15.75" customHeight="1" x14ac:dyDescent="0.3">
      <c r="A573" s="57" t="s">
        <v>571</v>
      </c>
      <c r="B573" s="57" t="s">
        <v>604</v>
      </c>
      <c r="C573" s="58" t="s">
        <v>95</v>
      </c>
      <c r="D573" s="58" t="s">
        <v>95</v>
      </c>
      <c r="E573" s="59" t="s">
        <v>1300</v>
      </c>
      <c r="F573" s="55" t="s">
        <v>571</v>
      </c>
      <c r="G573" s="55" t="s">
        <v>604</v>
      </c>
      <c r="H573" t="s">
        <v>813</v>
      </c>
      <c r="I573" t="s">
        <v>813</v>
      </c>
      <c r="J573">
        <v>0</v>
      </c>
      <c r="K573" s="60">
        <v>44401000002</v>
      </c>
      <c r="L573" s="60" t="s">
        <v>553</v>
      </c>
      <c r="M573" s="57">
        <v>0</v>
      </c>
      <c r="N573" s="57">
        <v>31352</v>
      </c>
      <c r="O573" s="57">
        <v>0</v>
      </c>
      <c r="Q573">
        <v>620</v>
      </c>
      <c r="R573" t="s">
        <v>1054</v>
      </c>
      <c r="S573" t="s">
        <v>1063</v>
      </c>
      <c r="T573" s="57">
        <v>0</v>
      </c>
      <c r="U573" s="57">
        <v>31352</v>
      </c>
      <c r="V573" s="57">
        <v>0</v>
      </c>
    </row>
    <row r="574" spans="1:22" ht="15.75" customHeight="1" x14ac:dyDescent="0.3">
      <c r="A574" s="57" t="s">
        <v>571</v>
      </c>
      <c r="B574" s="57" t="s">
        <v>604</v>
      </c>
      <c r="C574" s="58" t="s">
        <v>95</v>
      </c>
      <c r="D574" s="58" t="s">
        <v>95</v>
      </c>
      <c r="E574" s="59" t="s">
        <v>1300</v>
      </c>
      <c r="F574" s="55" t="s">
        <v>571</v>
      </c>
      <c r="G574" s="55" t="s">
        <v>604</v>
      </c>
      <c r="H574" t="s">
        <v>813</v>
      </c>
      <c r="I574" t="s">
        <v>813</v>
      </c>
      <c r="J574">
        <v>0</v>
      </c>
      <c r="K574" s="60">
        <v>44008000041</v>
      </c>
      <c r="L574" s="60" t="s">
        <v>817</v>
      </c>
      <c r="M574" s="57">
        <v>0</v>
      </c>
      <c r="N574" s="57">
        <v>1306</v>
      </c>
      <c r="O574" s="57">
        <v>0</v>
      </c>
      <c r="Q574">
        <v>620</v>
      </c>
      <c r="R574" t="s">
        <v>1055</v>
      </c>
      <c r="S574" t="s">
        <v>1064</v>
      </c>
      <c r="T574" s="57">
        <v>0</v>
      </c>
      <c r="U574" s="57">
        <v>1306</v>
      </c>
      <c r="V574" s="57">
        <v>0</v>
      </c>
    </row>
    <row r="575" spans="1:22" ht="15.75" customHeight="1" x14ac:dyDescent="0.3">
      <c r="A575" s="57" t="s">
        <v>571</v>
      </c>
      <c r="B575" s="57" t="s">
        <v>604</v>
      </c>
      <c r="C575" s="58" t="s">
        <v>95</v>
      </c>
      <c r="D575" s="58" t="s">
        <v>95</v>
      </c>
      <c r="E575" s="59" t="s">
        <v>1300</v>
      </c>
      <c r="F575" s="55" t="s">
        <v>571</v>
      </c>
      <c r="G575" s="55" t="s">
        <v>604</v>
      </c>
      <c r="H575" t="s">
        <v>813</v>
      </c>
      <c r="I575" t="s">
        <v>813</v>
      </c>
      <c r="J575">
        <v>0</v>
      </c>
      <c r="K575" s="60">
        <v>44008000040</v>
      </c>
      <c r="L575" s="60" t="s">
        <v>818</v>
      </c>
      <c r="M575" s="57">
        <v>910</v>
      </c>
      <c r="N575" s="57">
        <v>0</v>
      </c>
      <c r="O575" s="57">
        <v>0</v>
      </c>
      <c r="Q575">
        <v>620</v>
      </c>
      <c r="R575" t="s">
        <v>1055</v>
      </c>
      <c r="S575" t="s">
        <v>1064</v>
      </c>
      <c r="T575" s="57">
        <v>910</v>
      </c>
      <c r="U575" s="57">
        <v>0</v>
      </c>
      <c r="V575" s="57">
        <v>0</v>
      </c>
    </row>
    <row r="576" spans="1:22" ht="15.75" customHeight="1" x14ac:dyDescent="0.3">
      <c r="A576" s="57"/>
      <c r="B576" s="57"/>
      <c r="C576" s="58"/>
      <c r="D576" s="58"/>
      <c r="E576" s="59"/>
      <c r="F576" s="55" t="s">
        <v>571</v>
      </c>
      <c r="G576" s="55" t="s">
        <v>604</v>
      </c>
      <c r="H576" t="s">
        <v>813</v>
      </c>
      <c r="I576" t="s">
        <v>813</v>
      </c>
      <c r="K576" s="60" t="s">
        <v>819</v>
      </c>
      <c r="L576" s="60" t="s">
        <v>820</v>
      </c>
      <c r="M576" s="57">
        <v>0</v>
      </c>
      <c r="N576" s="57">
        <v>845.1725100000001</v>
      </c>
      <c r="O576" s="57">
        <v>845.1725100000001</v>
      </c>
      <c r="Q576">
        <v>620</v>
      </c>
      <c r="R576" t="s">
        <v>1054</v>
      </c>
      <c r="S576" t="s">
        <v>1063</v>
      </c>
      <c r="T576" s="57">
        <v>0</v>
      </c>
      <c r="U576" s="57">
        <v>0</v>
      </c>
      <c r="V576" s="57">
        <v>0</v>
      </c>
    </row>
    <row r="577" spans="1:22" ht="15.75" customHeight="1" x14ac:dyDescent="0.3">
      <c r="A577" s="57"/>
      <c r="B577" s="57"/>
      <c r="C577" s="58"/>
      <c r="D577" s="58"/>
      <c r="E577" s="59"/>
      <c r="F577" s="55" t="s">
        <v>571</v>
      </c>
      <c r="G577" s="55" t="s">
        <v>604</v>
      </c>
      <c r="H577" t="s">
        <v>813</v>
      </c>
      <c r="I577" t="s">
        <v>813</v>
      </c>
      <c r="K577" s="60" t="s">
        <v>821</v>
      </c>
      <c r="L577" s="60" t="s">
        <v>822</v>
      </c>
      <c r="M577" s="57">
        <v>0</v>
      </c>
      <c r="N577" s="57">
        <v>12097.104250000002</v>
      </c>
      <c r="O577" s="57">
        <v>-1257.8961500000023</v>
      </c>
      <c r="Q577">
        <v>620</v>
      </c>
      <c r="R577" t="s">
        <v>1054</v>
      </c>
      <c r="S577" t="s">
        <v>1063</v>
      </c>
      <c r="T577" s="57">
        <v>0</v>
      </c>
      <c r="U577" s="57">
        <v>0</v>
      </c>
      <c r="V577" s="57">
        <v>0</v>
      </c>
    </row>
    <row r="578" spans="1:22" ht="15.75" customHeight="1" x14ac:dyDescent="0.3">
      <c r="A578" s="57"/>
      <c r="B578" s="57"/>
      <c r="C578" s="58"/>
      <c r="D578" s="58"/>
      <c r="E578" s="59"/>
      <c r="F578" s="55" t="s">
        <v>571</v>
      </c>
      <c r="G578" s="55" t="s">
        <v>604</v>
      </c>
      <c r="H578" t="s">
        <v>813</v>
      </c>
      <c r="I578" t="s">
        <v>813</v>
      </c>
      <c r="K578" s="60" t="s">
        <v>823</v>
      </c>
      <c r="L578" s="60" t="s">
        <v>824</v>
      </c>
      <c r="M578" s="57">
        <v>0</v>
      </c>
      <c r="N578" s="57">
        <v>-4451.5737085182245</v>
      </c>
      <c r="O578" s="57">
        <v>38112.636551624877</v>
      </c>
      <c r="Q578">
        <v>620</v>
      </c>
      <c r="R578" t="s">
        <v>1054</v>
      </c>
      <c r="S578" t="s">
        <v>1063</v>
      </c>
      <c r="T578" s="57">
        <v>0</v>
      </c>
      <c r="U578" s="57">
        <v>0</v>
      </c>
      <c r="V578" s="57">
        <v>0</v>
      </c>
    </row>
    <row r="579" spans="1:22" ht="15.75" customHeight="1" x14ac:dyDescent="0.3">
      <c r="A579" s="57"/>
      <c r="B579" s="57"/>
      <c r="C579" s="58"/>
      <c r="D579" s="58"/>
      <c r="E579" s="59"/>
      <c r="F579" s="55" t="s">
        <v>571</v>
      </c>
      <c r="G579" s="55" t="s">
        <v>604</v>
      </c>
      <c r="H579" t="s">
        <v>813</v>
      </c>
      <c r="I579" t="s">
        <v>813</v>
      </c>
      <c r="K579" s="60" t="s">
        <v>825</v>
      </c>
      <c r="L579" s="60" t="s">
        <v>826</v>
      </c>
      <c r="M579" s="57">
        <v>0</v>
      </c>
      <c r="N579" s="57">
        <v>-631.31408957167559</v>
      </c>
      <c r="O579" s="57">
        <v>4537.0550162304371</v>
      </c>
      <c r="Q579">
        <v>620</v>
      </c>
      <c r="R579" t="s">
        <v>1054</v>
      </c>
      <c r="S579" t="s">
        <v>1063</v>
      </c>
      <c r="T579" s="57">
        <v>0</v>
      </c>
      <c r="U579" s="57">
        <v>0</v>
      </c>
      <c r="V579" s="57">
        <v>0</v>
      </c>
    </row>
    <row r="580" spans="1:22" ht="15.75" customHeight="1" x14ac:dyDescent="0.3">
      <c r="A580" s="57"/>
      <c r="B580" s="57"/>
      <c r="C580" s="58"/>
      <c r="D580" s="58"/>
      <c r="E580" s="59"/>
      <c r="F580" s="55" t="s">
        <v>571</v>
      </c>
      <c r="G580" s="55" t="s">
        <v>604</v>
      </c>
      <c r="H580" t="s">
        <v>813</v>
      </c>
      <c r="I580" t="s">
        <v>813</v>
      </c>
      <c r="K580" s="60" t="s">
        <v>827</v>
      </c>
      <c r="L580" s="60" t="s">
        <v>828</v>
      </c>
      <c r="M580" s="57">
        <v>0</v>
      </c>
      <c r="N580" s="57">
        <v>-43.293899999999994</v>
      </c>
      <c r="O580" s="57">
        <v>1537.5192299999999</v>
      </c>
      <c r="Q580">
        <v>620</v>
      </c>
      <c r="R580" t="s">
        <v>1054</v>
      </c>
      <c r="S580" t="s">
        <v>1063</v>
      </c>
      <c r="T580" s="57">
        <v>0</v>
      </c>
      <c r="U580" s="57">
        <v>0</v>
      </c>
      <c r="V580" s="57">
        <v>0</v>
      </c>
    </row>
    <row r="581" spans="1:22" ht="15.75" customHeight="1" x14ac:dyDescent="0.3">
      <c r="A581" s="57"/>
      <c r="B581" s="57"/>
      <c r="C581" s="58"/>
      <c r="D581" s="58"/>
      <c r="E581" s="59"/>
      <c r="F581" s="55" t="s">
        <v>571</v>
      </c>
      <c r="G581" s="55" t="s">
        <v>604</v>
      </c>
      <c r="H581" t="s">
        <v>813</v>
      </c>
      <c r="I581" t="s">
        <v>813</v>
      </c>
      <c r="K581" s="60" t="s">
        <v>829</v>
      </c>
      <c r="L581" s="60" t="s">
        <v>830</v>
      </c>
      <c r="M581" s="57">
        <v>0</v>
      </c>
      <c r="N581" s="57">
        <v>-336.64125000000001</v>
      </c>
      <c r="O581" s="57">
        <v>8445.1564499999986</v>
      </c>
      <c r="Q581">
        <v>620</v>
      </c>
      <c r="R581" t="s">
        <v>1054</v>
      </c>
      <c r="S581" t="s">
        <v>1063</v>
      </c>
      <c r="T581" s="57">
        <v>0</v>
      </c>
      <c r="U581" s="57">
        <v>0</v>
      </c>
      <c r="V581" s="57">
        <v>0</v>
      </c>
    </row>
    <row r="582" spans="1:22" ht="15.75" customHeight="1" x14ac:dyDescent="0.3">
      <c r="A582" s="57"/>
      <c r="B582" s="57"/>
      <c r="C582" s="58"/>
      <c r="D582" s="58"/>
      <c r="E582" s="59"/>
      <c r="F582" s="55" t="s">
        <v>571</v>
      </c>
      <c r="G582" s="55" t="s">
        <v>604</v>
      </c>
      <c r="H582" t="s">
        <v>813</v>
      </c>
      <c r="I582" t="s">
        <v>813</v>
      </c>
      <c r="K582" s="78" t="s">
        <v>1301</v>
      </c>
      <c r="L582" s="78" t="s">
        <v>1302</v>
      </c>
      <c r="M582" s="57">
        <v>0</v>
      </c>
      <c r="N582" s="57">
        <v>-194.5156199999995</v>
      </c>
      <c r="O582" s="57">
        <v>213.29529000000002</v>
      </c>
      <c r="Q582">
        <v>620</v>
      </c>
      <c r="R582" t="s">
        <v>1054</v>
      </c>
      <c r="S582" t="s">
        <v>1063</v>
      </c>
      <c r="T582" s="57">
        <v>0</v>
      </c>
      <c r="U582" s="57">
        <v>0</v>
      </c>
      <c r="V582" s="57">
        <v>0</v>
      </c>
    </row>
    <row r="583" spans="1:22" ht="15.75" customHeight="1" x14ac:dyDescent="0.3">
      <c r="A583" s="57"/>
      <c r="B583" s="57"/>
      <c r="C583" s="58"/>
      <c r="D583" s="58"/>
      <c r="E583" s="59"/>
      <c r="F583" s="55" t="s">
        <v>571</v>
      </c>
      <c r="G583" s="55" t="s">
        <v>604</v>
      </c>
      <c r="H583" t="s">
        <v>813</v>
      </c>
      <c r="I583" t="s">
        <v>813</v>
      </c>
      <c r="K583" s="78" t="s">
        <v>1303</v>
      </c>
      <c r="L583" s="78" t="s">
        <v>1304</v>
      </c>
      <c r="M583" s="57">
        <v>0</v>
      </c>
      <c r="N583" s="57">
        <v>-1371.5844999999965</v>
      </c>
      <c r="O583" s="57">
        <v>1504.0052500000004</v>
      </c>
      <c r="Q583">
        <v>620</v>
      </c>
      <c r="R583" t="s">
        <v>1054</v>
      </c>
      <c r="S583" t="s">
        <v>1063</v>
      </c>
      <c r="T583" s="57">
        <v>0</v>
      </c>
      <c r="U583" s="57">
        <v>0</v>
      </c>
      <c r="V583" s="57">
        <v>0</v>
      </c>
    </row>
    <row r="584" spans="1:22" ht="15.75" customHeight="1" x14ac:dyDescent="0.3">
      <c r="A584" s="57"/>
      <c r="B584" s="57"/>
      <c r="C584" s="58"/>
      <c r="D584" s="58"/>
      <c r="E584" s="59"/>
      <c r="F584" s="55" t="s">
        <v>571</v>
      </c>
      <c r="G584" s="55" t="s">
        <v>604</v>
      </c>
      <c r="H584" t="s">
        <v>813</v>
      </c>
      <c r="I584" t="s">
        <v>813</v>
      </c>
      <c r="K584" s="69" t="s">
        <v>1305</v>
      </c>
      <c r="L584" s="69" t="s">
        <v>1306</v>
      </c>
      <c r="M584" s="57">
        <v>0</v>
      </c>
      <c r="N584" s="57">
        <v>-100782.44845635282</v>
      </c>
      <c r="O584" s="57">
        <v>-385545.13794839929</v>
      </c>
      <c r="Q584">
        <v>620</v>
      </c>
      <c r="R584" t="s">
        <v>1054</v>
      </c>
      <c r="S584" t="s">
        <v>1063</v>
      </c>
      <c r="T584" s="57">
        <v>0</v>
      </c>
      <c r="U584" s="57">
        <v>0</v>
      </c>
      <c r="V584" s="57">
        <v>0</v>
      </c>
    </row>
    <row r="585" spans="1:22" ht="15.75" customHeight="1" x14ac:dyDescent="0.3">
      <c r="A585" s="57"/>
      <c r="B585" s="57"/>
      <c r="C585" s="58"/>
      <c r="D585" s="58"/>
      <c r="E585" s="59"/>
      <c r="F585" s="55" t="s">
        <v>571</v>
      </c>
      <c r="G585" s="55" t="s">
        <v>604</v>
      </c>
      <c r="H585" t="s">
        <v>813</v>
      </c>
      <c r="I585" t="s">
        <v>813</v>
      </c>
      <c r="K585" s="69" t="s">
        <v>1307</v>
      </c>
      <c r="L585" s="69" t="s">
        <v>1308</v>
      </c>
      <c r="M585" s="57">
        <v>0</v>
      </c>
      <c r="N585" s="57">
        <v>-14292.78359926458</v>
      </c>
      <c r="O585" s="57">
        <v>-12358.011117070464</v>
      </c>
      <c r="Q585">
        <v>620</v>
      </c>
      <c r="R585" t="s">
        <v>1054</v>
      </c>
      <c r="S585" t="s">
        <v>1063</v>
      </c>
      <c r="T585" s="57">
        <v>0</v>
      </c>
      <c r="U585" s="57">
        <v>0</v>
      </c>
      <c r="V585" s="57">
        <v>0</v>
      </c>
    </row>
    <row r="586" spans="1:22" ht="15.75" customHeight="1" x14ac:dyDescent="0.3">
      <c r="A586" s="57"/>
      <c r="B586" s="57"/>
      <c r="C586" s="58"/>
      <c r="D586" s="58"/>
      <c r="E586" s="59"/>
      <c r="F586" s="55" t="s">
        <v>571</v>
      </c>
      <c r="G586" s="55" t="s">
        <v>604</v>
      </c>
      <c r="H586" t="s">
        <v>793</v>
      </c>
      <c r="I586" t="s">
        <v>793</v>
      </c>
      <c r="K586" s="60" t="s">
        <v>831</v>
      </c>
      <c r="L586" s="60" t="s">
        <v>832</v>
      </c>
      <c r="M586" s="57">
        <v>0</v>
      </c>
      <c r="N586" s="57">
        <v>-13776.920000000006</v>
      </c>
      <c r="O586" s="57">
        <v>-1976.0600000000086</v>
      </c>
      <c r="Q586">
        <v>600</v>
      </c>
      <c r="R586" t="s">
        <v>1050</v>
      </c>
      <c r="S586" t="s">
        <v>1057</v>
      </c>
      <c r="T586" s="57">
        <v>0</v>
      </c>
      <c r="U586" s="57">
        <v>0</v>
      </c>
      <c r="V586" s="57">
        <v>0</v>
      </c>
    </row>
    <row r="587" spans="1:22" ht="15.75" customHeight="1" x14ac:dyDescent="0.3">
      <c r="A587" s="57"/>
      <c r="B587" s="57"/>
      <c r="C587" s="58"/>
      <c r="D587" s="58"/>
      <c r="E587" s="59"/>
      <c r="F587" s="55" t="s">
        <v>571</v>
      </c>
      <c r="G587" s="55" t="s">
        <v>604</v>
      </c>
      <c r="H587" t="s">
        <v>793</v>
      </c>
      <c r="I587" t="s">
        <v>793</v>
      </c>
      <c r="K587" s="60" t="s">
        <v>833</v>
      </c>
      <c r="L587" s="60" t="s">
        <v>834</v>
      </c>
      <c r="M587" s="57">
        <v>0</v>
      </c>
      <c r="N587" s="57">
        <v>-547.18999999999869</v>
      </c>
      <c r="O587" s="57">
        <v>895.89999999999782</v>
      </c>
      <c r="Q587">
        <v>600</v>
      </c>
      <c r="R587" t="s">
        <v>1050</v>
      </c>
      <c r="S587" t="s">
        <v>1057</v>
      </c>
      <c r="T587" s="57">
        <v>0</v>
      </c>
      <c r="U587" s="57">
        <v>0</v>
      </c>
      <c r="V587" s="57">
        <v>0</v>
      </c>
    </row>
    <row r="588" spans="1:22" ht="15.75" customHeight="1" x14ac:dyDescent="0.3">
      <c r="A588" s="57"/>
      <c r="B588" s="57"/>
      <c r="C588" s="58"/>
      <c r="D588" s="58"/>
      <c r="E588" s="59"/>
      <c r="F588" s="55" t="s">
        <v>571</v>
      </c>
      <c r="G588" s="55" t="s">
        <v>604</v>
      </c>
      <c r="H588" t="s">
        <v>793</v>
      </c>
      <c r="I588" t="s">
        <v>793</v>
      </c>
      <c r="K588" s="60" t="s">
        <v>835</v>
      </c>
      <c r="L588" s="60" t="s">
        <v>836</v>
      </c>
      <c r="M588" s="57">
        <v>0</v>
      </c>
      <c r="N588" s="57">
        <v>2105.73</v>
      </c>
      <c r="O588" s="57">
        <v>29794.809999999998</v>
      </c>
      <c r="Q588">
        <v>600</v>
      </c>
      <c r="R588" t="s">
        <v>1051</v>
      </c>
      <c r="S588" t="s">
        <v>1060</v>
      </c>
      <c r="T588" s="57">
        <v>0</v>
      </c>
      <c r="U588" s="57">
        <v>0</v>
      </c>
      <c r="V588" s="57">
        <v>0</v>
      </c>
    </row>
    <row r="589" spans="1:22" ht="15.75" customHeight="1" x14ac:dyDescent="0.3">
      <c r="A589" s="57"/>
      <c r="B589" s="57"/>
      <c r="C589" s="58"/>
      <c r="D589" s="58"/>
      <c r="E589" s="59"/>
      <c r="F589" s="55" t="s">
        <v>571</v>
      </c>
      <c r="G589" s="55" t="s">
        <v>604</v>
      </c>
      <c r="H589" t="s">
        <v>793</v>
      </c>
      <c r="I589" t="s">
        <v>793</v>
      </c>
      <c r="K589" s="60" t="s">
        <v>837</v>
      </c>
      <c r="L589" s="60" t="s">
        <v>838</v>
      </c>
      <c r="M589" s="57">
        <v>0</v>
      </c>
      <c r="N589" s="57">
        <v>114.05</v>
      </c>
      <c r="O589" s="57">
        <v>4413.9399999999996</v>
      </c>
      <c r="Q589">
        <v>600</v>
      </c>
      <c r="R589" t="s">
        <v>1051</v>
      </c>
      <c r="S589" t="s">
        <v>1060</v>
      </c>
      <c r="T589" s="57">
        <v>0</v>
      </c>
      <c r="U589" s="57">
        <v>0</v>
      </c>
      <c r="V589" s="57">
        <v>0</v>
      </c>
    </row>
    <row r="590" spans="1:22" ht="15.75" customHeight="1" x14ac:dyDescent="0.3">
      <c r="A590" s="57"/>
      <c r="B590" s="57"/>
      <c r="C590" s="58"/>
      <c r="D590" s="58"/>
      <c r="E590" s="59"/>
      <c r="F590" s="55"/>
      <c r="G590" s="55"/>
      <c r="K590" s="60"/>
      <c r="L590" s="60"/>
      <c r="M590" s="57">
        <v>0</v>
      </c>
      <c r="N590" s="57">
        <v>0</v>
      </c>
      <c r="O590" s="57">
        <v>0</v>
      </c>
      <c r="T590" s="57">
        <v>0</v>
      </c>
      <c r="U590" s="57">
        <v>0</v>
      </c>
      <c r="V590" s="57">
        <v>0</v>
      </c>
    </row>
    <row r="591" spans="1:22" ht="15.75" customHeight="1" x14ac:dyDescent="0.3">
      <c r="A591" s="57"/>
      <c r="B591" s="57"/>
      <c r="C591" s="58"/>
      <c r="D591" s="58"/>
      <c r="E591" s="59"/>
      <c r="F591" s="55" t="s">
        <v>839</v>
      </c>
      <c r="G591" s="55" t="s">
        <v>839</v>
      </c>
      <c r="H591" t="s">
        <v>840</v>
      </c>
      <c r="K591" s="69" t="s">
        <v>1309</v>
      </c>
      <c r="L591" t="s">
        <v>840</v>
      </c>
      <c r="M591" s="57">
        <v>0</v>
      </c>
      <c r="N591" s="57">
        <v>46309.040540000016</v>
      </c>
      <c r="O591" s="57">
        <v>-16912.506800000021</v>
      </c>
      <c r="Q591">
        <v>640</v>
      </c>
      <c r="T591" s="57">
        <v>0</v>
      </c>
      <c r="U591" s="57">
        <v>0</v>
      </c>
      <c r="V591" s="57">
        <v>0</v>
      </c>
    </row>
    <row r="592" spans="1:22" ht="15" customHeight="1" x14ac:dyDescent="0.3">
      <c r="M592" s="57">
        <v>0</v>
      </c>
      <c r="N592" s="57">
        <v>0</v>
      </c>
      <c r="O592" s="57">
        <v>0</v>
      </c>
      <c r="T592" s="55">
        <f>SUM(T3:T591)</f>
        <v>-8.149072527885437E-9</v>
      </c>
      <c r="U592" s="55">
        <f>SUM(U3:U591)</f>
        <v>-2.5029294192790985E-9</v>
      </c>
      <c r="V592" s="55">
        <v>-2.2866515791974962E-8</v>
      </c>
    </row>
    <row r="593" spans="13:24" ht="15.75" x14ac:dyDescent="0.3">
      <c r="M593" s="57">
        <v>0</v>
      </c>
      <c r="N593" s="57">
        <v>0</v>
      </c>
      <c r="O593" s="57">
        <v>0</v>
      </c>
      <c r="X593" s="55"/>
    </row>
    <row r="594" spans="13:24" ht="15.75" x14ac:dyDescent="0.3">
      <c r="M594" s="57">
        <v>0</v>
      </c>
      <c r="N594" s="57">
        <v>0</v>
      </c>
      <c r="O594" s="57">
        <v>0</v>
      </c>
    </row>
    <row r="595" spans="13:24" ht="15.75" x14ac:dyDescent="0.3">
      <c r="M595" s="57">
        <v>0</v>
      </c>
      <c r="N595" s="57">
        <v>0</v>
      </c>
      <c r="O595" s="57">
        <v>0</v>
      </c>
    </row>
  </sheetData>
  <autoFilter ref="F2:U592"/>
  <mergeCells count="2">
    <mergeCell ref="A1:E1"/>
    <mergeCell ref="F1:J1"/>
  </mergeCells>
  <conditionalFormatting sqref="K147:K148">
    <cfRule type="duplicateValues" dxfId="41" priority="22"/>
  </conditionalFormatting>
  <conditionalFormatting sqref="K316">
    <cfRule type="duplicateValues" dxfId="40" priority="37" stopIfTrue="1"/>
  </conditionalFormatting>
  <conditionalFormatting sqref="K317">
    <cfRule type="duplicateValues" dxfId="39" priority="36" stopIfTrue="1"/>
  </conditionalFormatting>
  <conditionalFormatting sqref="K119:K121">
    <cfRule type="duplicateValues" dxfId="38" priority="35"/>
  </conditionalFormatting>
  <conditionalFormatting sqref="K179">
    <cfRule type="duplicateValues" dxfId="37" priority="34"/>
  </conditionalFormatting>
  <conditionalFormatting sqref="K280:K281">
    <cfRule type="duplicateValues" dxfId="36" priority="33"/>
  </conditionalFormatting>
  <conditionalFormatting sqref="K298:K299">
    <cfRule type="duplicateValues" dxfId="35" priority="32"/>
  </conditionalFormatting>
  <conditionalFormatting sqref="K498 K393:K394">
    <cfRule type="duplicateValues" dxfId="34" priority="38"/>
  </conditionalFormatting>
  <conditionalFormatting sqref="K549">
    <cfRule type="duplicateValues" dxfId="33" priority="31"/>
  </conditionalFormatting>
  <conditionalFormatting sqref="K536">
    <cfRule type="duplicateValues" dxfId="32" priority="30"/>
  </conditionalFormatting>
  <conditionalFormatting sqref="K354">
    <cfRule type="duplicateValues" dxfId="31" priority="29"/>
  </conditionalFormatting>
  <conditionalFormatting sqref="K326">
    <cfRule type="duplicateValues" dxfId="30" priority="28" stopIfTrue="1"/>
  </conditionalFormatting>
  <conditionalFormatting sqref="K326">
    <cfRule type="duplicateValues" dxfId="29" priority="27"/>
  </conditionalFormatting>
  <conditionalFormatting sqref="K102:K103">
    <cfRule type="duplicateValues" dxfId="28" priority="26"/>
  </conditionalFormatting>
  <conditionalFormatting sqref="K192:K193">
    <cfRule type="duplicateValues" dxfId="27" priority="25"/>
  </conditionalFormatting>
  <conditionalFormatting sqref="K527">
    <cfRule type="duplicateValues" dxfId="26" priority="24"/>
  </conditionalFormatting>
  <conditionalFormatting sqref="K145:K148">
    <cfRule type="duplicateValues" dxfId="25" priority="23"/>
  </conditionalFormatting>
  <conditionalFormatting sqref="K331:K334 K318:K325">
    <cfRule type="duplicateValues" dxfId="24" priority="39" stopIfTrue="1"/>
  </conditionalFormatting>
  <conditionalFormatting sqref="K331:K334 K318:K325">
    <cfRule type="duplicateValues" dxfId="23" priority="40"/>
  </conditionalFormatting>
  <conditionalFormatting sqref="K190:K191">
    <cfRule type="duplicateValues" dxfId="22" priority="41"/>
  </conditionalFormatting>
  <conditionalFormatting sqref="K550 K395:K479 K282:K297 K122:K144 K300:K317 K499:K517 K537:K548 K3:K39 K355:K392 K335:K353 K180:K189 K198:K238 K104:K118 K529:K535 K149:K178 K519:K526 K56:K101 K481:K497 K240:K253 K256:K258 K260:K279">
    <cfRule type="duplicateValues" dxfId="21" priority="42"/>
  </conditionalFormatting>
  <conditionalFormatting sqref="K254:K255">
    <cfRule type="duplicateValues" dxfId="20" priority="20"/>
  </conditionalFormatting>
  <conditionalFormatting sqref="K328">
    <cfRule type="duplicateValues" dxfId="19" priority="17" stopIfTrue="1"/>
  </conditionalFormatting>
  <conditionalFormatting sqref="K328">
    <cfRule type="duplicateValues" dxfId="18" priority="16"/>
  </conditionalFormatting>
  <conditionalFormatting sqref="K327">
    <cfRule type="duplicateValues" dxfId="17" priority="18" stopIfTrue="1"/>
  </conditionalFormatting>
  <conditionalFormatting sqref="K327">
    <cfRule type="duplicateValues" dxfId="16" priority="19"/>
  </conditionalFormatting>
  <conditionalFormatting sqref="K194:K195">
    <cfRule type="duplicateValues" dxfId="15" priority="15"/>
  </conditionalFormatting>
  <conditionalFormatting sqref="K582:K583">
    <cfRule type="duplicateValues" dxfId="14" priority="14"/>
  </conditionalFormatting>
  <conditionalFormatting sqref="K518">
    <cfRule type="duplicateValues" dxfId="13" priority="13"/>
  </conditionalFormatting>
  <conditionalFormatting sqref="K40">
    <cfRule type="duplicateValues" dxfId="12" priority="12"/>
  </conditionalFormatting>
  <conditionalFormatting sqref="K41:K45 K47">
    <cfRule type="duplicateValues" dxfId="11" priority="11"/>
  </conditionalFormatting>
  <conditionalFormatting sqref="K46">
    <cfRule type="duplicateValues" dxfId="10" priority="10"/>
  </conditionalFormatting>
  <conditionalFormatting sqref="K48">
    <cfRule type="duplicateValues" dxfId="9" priority="9"/>
  </conditionalFormatting>
  <conditionalFormatting sqref="K53">
    <cfRule type="duplicateValues" dxfId="8" priority="7"/>
  </conditionalFormatting>
  <conditionalFormatting sqref="K55">
    <cfRule type="duplicateValues" dxfId="7" priority="6"/>
  </conditionalFormatting>
  <conditionalFormatting sqref="K49:K52">
    <cfRule type="duplicateValues" dxfId="6" priority="8"/>
  </conditionalFormatting>
  <conditionalFormatting sqref="K54">
    <cfRule type="duplicateValues" dxfId="5" priority="5"/>
  </conditionalFormatting>
  <conditionalFormatting sqref="K480">
    <cfRule type="duplicateValues" dxfId="4" priority="4"/>
  </conditionalFormatting>
  <conditionalFormatting sqref="K528">
    <cfRule type="duplicateValues" dxfId="3" priority="3"/>
  </conditionalFormatting>
  <conditionalFormatting sqref="K196:K197">
    <cfRule type="duplicateValues" dxfId="2" priority="2"/>
  </conditionalFormatting>
  <conditionalFormatting sqref="K551:K581 K586:K590">
    <cfRule type="duplicateValues" dxfId="1" priority="43"/>
  </conditionalFormatting>
  <conditionalFormatting sqref="K259">
    <cfRule type="duplicateValues" dxfId="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3"/>
  <sheetViews>
    <sheetView topLeftCell="A52" zoomScale="115" zoomScaleNormal="115" workbookViewId="0">
      <selection activeCell="N48" sqref="N48"/>
    </sheetView>
  </sheetViews>
  <sheetFormatPr defaultColWidth="9.125" defaultRowHeight="11.25" x14ac:dyDescent="0.2"/>
  <cols>
    <col min="1" max="1" width="9.125" style="16"/>
    <col min="2" max="2" width="30.75" style="16" customWidth="1"/>
    <col min="3" max="3" width="9.125" style="16"/>
    <col min="4" max="4" width="12.125" style="16" customWidth="1"/>
    <col min="5" max="5" width="10.875" style="16" customWidth="1"/>
    <col min="6" max="6" width="9.875" style="16" bestFit="1" customWidth="1"/>
    <col min="7" max="7" width="9.125" style="16"/>
    <col min="8" max="8" width="30.75" style="16" customWidth="1"/>
    <col min="9" max="9" width="9.125" style="16"/>
    <col min="10" max="10" width="12.125" style="16" customWidth="1"/>
    <col min="11" max="11" width="10.875" style="16" customWidth="1"/>
    <col min="12" max="12" width="9.875" style="16" bestFit="1" customWidth="1"/>
    <col min="13" max="13" width="9.625" style="16" bestFit="1" customWidth="1"/>
    <col min="14" max="14" width="11.875" style="16" customWidth="1"/>
    <col min="15" max="15" width="11.125" style="16" bestFit="1" customWidth="1"/>
    <col min="16" max="16384" width="9.125" style="16"/>
  </cols>
  <sheetData>
    <row r="1" spans="1:14" ht="12" thickBot="1" x14ac:dyDescent="0.25">
      <c r="B1" s="387" t="s">
        <v>65</v>
      </c>
      <c r="H1" s="387" t="s">
        <v>65</v>
      </c>
    </row>
    <row r="2" spans="1:14" ht="12" customHeight="1" thickBot="1" x14ac:dyDescent="0.25">
      <c r="B2" s="597" t="s">
        <v>1406</v>
      </c>
      <c r="C2" s="597" t="s">
        <v>66</v>
      </c>
      <c r="D2" s="30" t="s">
        <v>176</v>
      </c>
      <c r="E2" s="597" t="s">
        <v>177</v>
      </c>
      <c r="F2" s="30" t="s">
        <v>67</v>
      </c>
      <c r="H2" s="597" t="s">
        <v>1406</v>
      </c>
      <c r="I2" s="597" t="s">
        <v>66</v>
      </c>
      <c r="J2" s="30" t="s">
        <v>176</v>
      </c>
      <c r="K2" s="597" t="s">
        <v>181</v>
      </c>
      <c r="L2" s="30" t="s">
        <v>67</v>
      </c>
    </row>
    <row r="3" spans="1:14" ht="12" thickBot="1" x14ac:dyDescent="0.25">
      <c r="B3" s="598"/>
      <c r="C3" s="598"/>
      <c r="D3" s="398">
        <v>41640</v>
      </c>
      <c r="E3" s="598"/>
      <c r="F3" s="398">
        <v>41640</v>
      </c>
      <c r="H3" s="598"/>
      <c r="I3" s="598"/>
      <c r="J3" s="398">
        <v>42004</v>
      </c>
      <c r="K3" s="598"/>
      <c r="L3" s="398">
        <v>42004</v>
      </c>
    </row>
    <row r="4" spans="1:14" x14ac:dyDescent="0.2">
      <c r="B4" s="391" t="s">
        <v>68</v>
      </c>
      <c r="D4" s="388"/>
      <c r="F4" s="400"/>
      <c r="H4" s="391" t="s">
        <v>68</v>
      </c>
      <c r="J4" s="388"/>
      <c r="L4" s="400"/>
    </row>
    <row r="5" spans="1:14" x14ac:dyDescent="0.2">
      <c r="B5" s="391" t="s">
        <v>69</v>
      </c>
      <c r="D5" s="389"/>
      <c r="F5" s="400"/>
      <c r="H5" s="391" t="s">
        <v>69</v>
      </c>
      <c r="J5" s="389"/>
      <c r="L5" s="400"/>
    </row>
    <row r="6" spans="1:14" x14ac:dyDescent="0.2">
      <c r="A6" s="16">
        <v>10</v>
      </c>
      <c r="B6" s="5" t="s">
        <v>119</v>
      </c>
      <c r="C6" s="401" t="s">
        <v>1358</v>
      </c>
      <c r="D6" s="402">
        <f>SUMIF(DATA!Q:Q,A6,DATA!T:T)</f>
        <v>174001.88</v>
      </c>
      <c r="E6" s="402">
        <f t="shared" ref="E6:E13" si="0">F6-D6</f>
        <v>-174001.88</v>
      </c>
      <c r="F6" s="403">
        <f>'situazione patrimoniale finanzi'!F8</f>
        <v>0</v>
      </c>
      <c r="G6" s="215"/>
      <c r="H6" s="5" t="s">
        <v>119</v>
      </c>
      <c r="I6" s="401" t="s">
        <v>1358</v>
      </c>
      <c r="J6" s="402">
        <f>SUMIF(DATA!Q:Q,A6,DATA!U:U)</f>
        <v>153320.4</v>
      </c>
      <c r="K6" s="402">
        <f t="shared" ref="K6:K13" ca="1" si="1">L6-J6</f>
        <v>-153320.4</v>
      </c>
      <c r="L6" s="403">
        <f ca="1">'situazione patrimoniale finanzi'!E8</f>
        <v>0</v>
      </c>
      <c r="N6" s="215"/>
    </row>
    <row r="7" spans="1:14" x14ac:dyDescent="0.2">
      <c r="A7" s="16">
        <v>20</v>
      </c>
      <c r="B7" s="5" t="s">
        <v>52</v>
      </c>
      <c r="C7" s="401" t="s">
        <v>1371</v>
      </c>
      <c r="D7" s="402">
        <f>SUMIF(DATA!Q:Q,A7,DATA!T:T)</f>
        <v>226338.39</v>
      </c>
      <c r="E7" s="402">
        <f t="shared" si="0"/>
        <v>-201399.65000000002</v>
      </c>
      <c r="F7" s="403">
        <f>'situazione patrimoniale finanzi'!F9</f>
        <v>24938.739999999998</v>
      </c>
      <c r="G7" s="215"/>
      <c r="H7" s="5" t="s">
        <v>52</v>
      </c>
      <c r="I7" s="401" t="s">
        <v>1371</v>
      </c>
      <c r="J7" s="402">
        <f>SUMIF(DATA!Q:Q,A7,DATA!U:U)</f>
        <v>412024.18999999994</v>
      </c>
      <c r="K7" s="402">
        <f t="shared" ca="1" si="1"/>
        <v>-393291.18999999994</v>
      </c>
      <c r="L7" s="403">
        <f ca="1">'situazione patrimoniale finanzi'!E9</f>
        <v>18733</v>
      </c>
      <c r="N7" s="215"/>
    </row>
    <row r="8" spans="1:14" x14ac:dyDescent="0.2">
      <c r="A8" s="16">
        <v>30</v>
      </c>
      <c r="B8" s="5" t="s">
        <v>1367</v>
      </c>
      <c r="C8" s="392" t="s">
        <v>1359</v>
      </c>
      <c r="D8" s="402">
        <f>SUMIF(DATA!Q:Q,A8,DATA!T:T)</f>
        <v>10562215.540000001</v>
      </c>
      <c r="E8" s="402">
        <f t="shared" ref="E8" si="2">F8-D8</f>
        <v>2179784.4600000009</v>
      </c>
      <c r="F8" s="403">
        <f>'situazione patrimoniale finanzi'!F10</f>
        <v>12742000.000000002</v>
      </c>
      <c r="G8" s="215"/>
      <c r="H8" s="5" t="s">
        <v>1367</v>
      </c>
      <c r="I8" s="392" t="s">
        <v>1359</v>
      </c>
      <c r="J8" s="402">
        <f>SUMIF(DATA!Q:Q,A8,DATA!U:U)</f>
        <v>10637289.800000001</v>
      </c>
      <c r="K8" s="402">
        <f t="shared" ref="K8" ca="1" si="3">L8-J8</f>
        <v>1710886.3462329283</v>
      </c>
      <c r="L8" s="403">
        <f ca="1">'situazione patrimoniale finanzi'!E10</f>
        <v>12348176.146232929</v>
      </c>
      <c r="M8" s="215"/>
      <c r="N8" s="215">
        <v>1929</v>
      </c>
    </row>
    <row r="9" spans="1:14" x14ac:dyDescent="0.2">
      <c r="A9" s="16">
        <v>35</v>
      </c>
      <c r="B9" s="5" t="s">
        <v>1368</v>
      </c>
      <c r="C9" s="392" t="s">
        <v>1360</v>
      </c>
      <c r="D9" s="402">
        <f>SUMIF(DATA!Q:Q,A9,DATA!T:T)</f>
        <v>2712036.8700000006</v>
      </c>
      <c r="E9" s="402">
        <f t="shared" si="0"/>
        <v>0</v>
      </c>
      <c r="F9" s="403">
        <f>'situazione patrimoniale finanzi'!F11</f>
        <v>2712036.8700000006</v>
      </c>
      <c r="H9" s="5" t="s">
        <v>1368</v>
      </c>
      <c r="I9" s="392" t="s">
        <v>1360</v>
      </c>
      <c r="J9" s="402">
        <f>SUMIF(DATA!Q:Q,A9,DATA!U:U)</f>
        <v>4755214.6100000013</v>
      </c>
      <c r="K9" s="402">
        <f t="shared" ca="1" si="1"/>
        <v>126716.4830166921</v>
      </c>
      <c r="L9" s="403">
        <f ca="1">'situazione patrimoniale finanzi'!E11</f>
        <v>4881931.0930166934</v>
      </c>
      <c r="M9" s="215"/>
      <c r="N9" s="215">
        <f>+N8-1710</f>
        <v>219</v>
      </c>
    </row>
    <row r="10" spans="1:14" x14ac:dyDescent="0.2">
      <c r="A10" s="16">
        <v>40</v>
      </c>
      <c r="B10" s="5" t="s">
        <v>852</v>
      </c>
      <c r="C10" s="392"/>
      <c r="D10" s="402">
        <f>SUMIF(DATA!Q:Q,A10,DATA!T:T)</f>
        <v>5454</v>
      </c>
      <c r="E10" s="402">
        <f t="shared" si="0"/>
        <v>0</v>
      </c>
      <c r="F10" s="403">
        <f>'situazione patrimoniale finanzi'!F12</f>
        <v>5454</v>
      </c>
      <c r="H10" s="5" t="s">
        <v>852</v>
      </c>
      <c r="I10" s="392"/>
      <c r="J10" s="402">
        <f>SUMIF(DATA!Q:Q,A10,DATA!U:U)</f>
        <v>5704</v>
      </c>
      <c r="K10" s="402">
        <f t="shared" ca="1" si="1"/>
        <v>0</v>
      </c>
      <c r="L10" s="403">
        <f ca="1">'situazione patrimoniale finanzi'!E12</f>
        <v>5704</v>
      </c>
    </row>
    <row r="11" spans="1:14" x14ac:dyDescent="0.2">
      <c r="A11" s="16">
        <v>50</v>
      </c>
      <c r="B11" s="5" t="s">
        <v>923</v>
      </c>
      <c r="C11" s="404" t="s">
        <v>1361</v>
      </c>
      <c r="D11" s="402">
        <f>SUMIF(DATA!Q:Q,A11,DATA!T:T)</f>
        <v>224049.47</v>
      </c>
      <c r="E11" s="402">
        <f t="shared" si="0"/>
        <v>116524.61806714497</v>
      </c>
      <c r="F11" s="403">
        <f>'situazione patrimoniale finanzi'!F13</f>
        <v>340574.08806714497</v>
      </c>
      <c r="G11" s="215"/>
      <c r="H11" s="5" t="s">
        <v>923</v>
      </c>
      <c r="I11" s="404" t="s">
        <v>1361</v>
      </c>
      <c r="J11" s="402">
        <f>SUMIF(DATA!Q:Q,A11,DATA!U:U)</f>
        <v>224049.47</v>
      </c>
      <c r="K11" s="402">
        <f t="shared" ca="1" si="1"/>
        <v>164766.84455799326</v>
      </c>
      <c r="L11" s="403">
        <f ca="1">'situazione patrimoniale finanzi'!E13</f>
        <v>388816.31455799326</v>
      </c>
    </row>
    <row r="12" spans="1:14" ht="12" thickBot="1" x14ac:dyDescent="0.25">
      <c r="A12" s="16">
        <v>60</v>
      </c>
      <c r="B12" s="5" t="s">
        <v>854</v>
      </c>
      <c r="C12" s="405"/>
      <c r="D12" s="406">
        <f>SUMIF(DATA!Q:Q,A12,DATA!T:T)</f>
        <v>3432.32</v>
      </c>
      <c r="E12" s="406">
        <f t="shared" si="0"/>
        <v>0</v>
      </c>
      <c r="F12" s="407">
        <f>'situazione patrimoniale finanzi'!F14</f>
        <v>3432.32</v>
      </c>
      <c r="H12" s="5" t="s">
        <v>854</v>
      </c>
      <c r="I12" s="405"/>
      <c r="J12" s="406">
        <f>SUMIF(DATA!Q:Q,A12,DATA!U:U)</f>
        <v>3519.58</v>
      </c>
      <c r="K12" s="406">
        <f t="shared" ca="1" si="1"/>
        <v>0</v>
      </c>
      <c r="L12" s="407">
        <f ca="1">'situazione patrimoniale finanzi'!E14</f>
        <v>3519.58</v>
      </c>
    </row>
    <row r="13" spans="1:14" ht="12" thickBot="1" x14ac:dyDescent="0.25">
      <c r="B13" s="408" t="s">
        <v>71</v>
      </c>
      <c r="C13" s="409"/>
      <c r="D13" s="410">
        <f>SUM(D6:D12)</f>
        <v>13907528.470000003</v>
      </c>
      <c r="E13" s="410">
        <f t="shared" si="0"/>
        <v>1920907.548067145</v>
      </c>
      <c r="F13" s="411">
        <f>SUM(F6:F12)</f>
        <v>15828436.018067148</v>
      </c>
      <c r="H13" s="408" t="s">
        <v>71</v>
      </c>
      <c r="I13" s="409"/>
      <c r="J13" s="410">
        <f>SUM(J6:J12)</f>
        <v>16191122.050000003</v>
      </c>
      <c r="K13" s="410">
        <f t="shared" ca="1" si="1"/>
        <v>1455758.0838076118</v>
      </c>
      <c r="L13" s="411">
        <f ca="1">SUM(L6:L12)</f>
        <v>17646880.133807614</v>
      </c>
    </row>
    <row r="14" spans="1:14" ht="12" thickTop="1" x14ac:dyDescent="0.2">
      <c r="B14" s="391" t="s">
        <v>72</v>
      </c>
      <c r="C14" s="401"/>
      <c r="D14" s="412"/>
      <c r="E14" s="412"/>
      <c r="F14" s="403"/>
      <c r="H14" s="391" t="s">
        <v>72</v>
      </c>
      <c r="I14" s="401"/>
      <c r="J14" s="412"/>
      <c r="K14" s="412"/>
      <c r="L14" s="403"/>
    </row>
    <row r="15" spans="1:14" x14ac:dyDescent="0.2">
      <c r="A15" s="16">
        <v>70</v>
      </c>
      <c r="B15" s="5" t="s">
        <v>73</v>
      </c>
      <c r="C15" s="401"/>
      <c r="D15" s="402">
        <f>SUMIF(DATA!Q:Q,A15,DATA!T:T)</f>
        <v>6776070</v>
      </c>
      <c r="E15" s="402">
        <f t="shared" ref="E15:E20" si="4">F15-D15</f>
        <v>0</v>
      </c>
      <c r="F15" s="403">
        <f>'situazione patrimoniale finanzi'!F17</f>
        <v>6776070</v>
      </c>
      <c r="H15" s="5" t="s">
        <v>73</v>
      </c>
      <c r="I15" s="401"/>
      <c r="J15" s="402">
        <f>SUMIF(DATA!Q:Q,A15,DATA!U:U)</f>
        <v>7168971</v>
      </c>
      <c r="K15" s="402">
        <f t="shared" ref="K15:K20" ca="1" si="5">L15-J15</f>
        <v>0</v>
      </c>
      <c r="L15" s="403">
        <f ca="1">'situazione patrimoniale finanzi'!E17</f>
        <v>7168971</v>
      </c>
    </row>
    <row r="16" spans="1:14" x14ac:dyDescent="0.2">
      <c r="A16" s="16">
        <v>90</v>
      </c>
      <c r="B16" s="5" t="s">
        <v>59</v>
      </c>
      <c r="C16" s="401"/>
      <c r="D16" s="402">
        <f>SUMIF(DATA!Q:Q,A16,DATA!T:T)</f>
        <v>8467642.8500000015</v>
      </c>
      <c r="E16" s="402">
        <f t="shared" si="4"/>
        <v>0</v>
      </c>
      <c r="F16" s="403">
        <f>'situazione patrimoniale finanzi'!F18</f>
        <v>8467642.8500000015</v>
      </c>
      <c r="H16" s="5" t="s">
        <v>59</v>
      </c>
      <c r="I16" s="401"/>
      <c r="J16" s="402">
        <f>SUMIF(DATA!Q:Q,A16,DATA!U:U)</f>
        <v>8833620.6700000018</v>
      </c>
      <c r="K16" s="402">
        <f t="shared" ca="1" si="5"/>
        <v>0</v>
      </c>
      <c r="L16" s="403">
        <f ca="1">'situazione patrimoniale finanzi'!E18</f>
        <v>8833620.6700000018</v>
      </c>
    </row>
    <row r="17" spans="1:16" x14ac:dyDescent="0.2">
      <c r="A17" s="16">
        <v>80</v>
      </c>
      <c r="B17" s="5" t="s">
        <v>130</v>
      </c>
      <c r="C17" s="401"/>
      <c r="D17" s="402">
        <f>SUMIF(DATA!Q:Q,A17,DATA!T:T)</f>
        <v>379974.45999999996</v>
      </c>
      <c r="E17" s="402">
        <f t="shared" si="4"/>
        <v>0</v>
      </c>
      <c r="F17" s="403">
        <f>'situazione patrimoniale finanzi'!F19</f>
        <v>379974.45999999996</v>
      </c>
      <c r="H17" s="5" t="s">
        <v>130</v>
      </c>
      <c r="I17" s="401"/>
      <c r="J17" s="402">
        <f>SUMIF(DATA!Q:Q,A17,DATA!U:U)</f>
        <v>340458.07000000007</v>
      </c>
      <c r="K17" s="402">
        <f t="shared" ca="1" si="5"/>
        <v>0</v>
      </c>
      <c r="L17" s="403">
        <f ca="1">'situazione patrimoniale finanzi'!E19</f>
        <v>340458.07000000007</v>
      </c>
    </row>
    <row r="18" spans="1:16" x14ac:dyDescent="0.2">
      <c r="A18" s="16">
        <v>100</v>
      </c>
      <c r="B18" s="5" t="s">
        <v>924</v>
      </c>
      <c r="C18" s="401" t="s">
        <v>1362</v>
      </c>
      <c r="D18" s="402">
        <f>SUMIF(DATA!Q:Q,A18,DATA!T:T)</f>
        <v>1918268.2</v>
      </c>
      <c r="E18" s="402">
        <f t="shared" si="4"/>
        <v>107467.9700000002</v>
      </c>
      <c r="F18" s="403">
        <f>'situazione patrimoniale finanzi'!F20</f>
        <v>2025736.1700000002</v>
      </c>
      <c r="G18" s="215"/>
      <c r="H18" s="5" t="s">
        <v>924</v>
      </c>
      <c r="I18" s="401" t="s">
        <v>1362</v>
      </c>
      <c r="J18" s="402">
        <f>SUMIF(DATA!Q:Q,A18,DATA!U:U)</f>
        <v>2322190.5499999998</v>
      </c>
      <c r="K18" s="402">
        <f t="shared" ca="1" si="5"/>
        <v>117724.15999999968</v>
      </c>
      <c r="L18" s="403">
        <f ca="1">'situazione patrimoniale finanzi'!E20</f>
        <v>2439914.7099999995</v>
      </c>
    </row>
    <row r="19" spans="1:16" ht="12" thickBot="1" x14ac:dyDescent="0.25">
      <c r="A19" s="16">
        <v>110</v>
      </c>
      <c r="B19" s="6" t="s">
        <v>856</v>
      </c>
      <c r="C19" s="413"/>
      <c r="D19" s="406">
        <f>SUMIF(DATA!Q:Q,A19,DATA!T:T)+81014</f>
        <v>543540.46</v>
      </c>
      <c r="E19" s="406">
        <f t="shared" si="4"/>
        <v>0</v>
      </c>
      <c r="F19" s="407">
        <f>'situazione patrimoniale finanzi'!F21</f>
        <v>543540.46</v>
      </c>
      <c r="H19" s="6" t="s">
        <v>856</v>
      </c>
      <c r="I19" s="413"/>
      <c r="J19" s="406">
        <f>SUMIF(DATA!Q:Q,A19,DATA!U:U)</f>
        <v>1269251.43</v>
      </c>
      <c r="K19" s="406">
        <f t="shared" ca="1" si="5"/>
        <v>0</v>
      </c>
      <c r="L19" s="407">
        <f ca="1">'situazione patrimoniale finanzi'!E21</f>
        <v>1269251.43</v>
      </c>
      <c r="O19" s="202"/>
    </row>
    <row r="20" spans="1:16" ht="12" thickBot="1" x14ac:dyDescent="0.25">
      <c r="B20" s="414" t="s">
        <v>74</v>
      </c>
      <c r="C20" s="415"/>
      <c r="D20" s="416">
        <f>SUM(D15:D19)</f>
        <v>18085495.970000003</v>
      </c>
      <c r="E20" s="416">
        <f t="shared" si="4"/>
        <v>107467.97000000253</v>
      </c>
      <c r="F20" s="417">
        <f>SUM(F15:F19)</f>
        <v>18192963.940000005</v>
      </c>
      <c r="H20" s="414" t="s">
        <v>74</v>
      </c>
      <c r="I20" s="415"/>
      <c r="J20" s="416">
        <f>SUM(J15:J19)</f>
        <v>19934491.720000003</v>
      </c>
      <c r="K20" s="416">
        <f t="shared" ca="1" si="5"/>
        <v>117724.16000000015</v>
      </c>
      <c r="L20" s="417">
        <f ca="1">SUM(L15:L19)</f>
        <v>20052215.880000003</v>
      </c>
    </row>
    <row r="21" spans="1:16" ht="5.25" customHeight="1" thickTop="1" thickBot="1" x14ac:dyDescent="0.25">
      <c r="B21" s="5"/>
      <c r="C21" s="397"/>
      <c r="D21" s="214"/>
      <c r="E21" s="214"/>
      <c r="F21" s="403"/>
      <c r="H21" s="5"/>
      <c r="I21" s="397"/>
      <c r="J21" s="214"/>
      <c r="K21" s="214"/>
      <c r="L21" s="403"/>
    </row>
    <row r="22" spans="1:16" ht="12" thickBot="1" x14ac:dyDescent="0.25">
      <c r="B22" s="408" t="s">
        <v>75</v>
      </c>
      <c r="C22" s="409"/>
      <c r="D22" s="410">
        <f>D20+D13</f>
        <v>31993024.440000005</v>
      </c>
      <c r="E22" s="410">
        <f>F22-D22</f>
        <v>2028375.5180671439</v>
      </c>
      <c r="F22" s="411">
        <f>F20+F13</f>
        <v>34021399.958067149</v>
      </c>
      <c r="H22" s="408" t="s">
        <v>75</v>
      </c>
      <c r="I22" s="409"/>
      <c r="J22" s="410">
        <f>J20+J13</f>
        <v>36125613.770000003</v>
      </c>
      <c r="K22" s="410">
        <f ca="1">L22-J22</f>
        <v>1573482.2438076138</v>
      </c>
      <c r="L22" s="411">
        <f ca="1">L20+L13</f>
        <v>37699096.013807617</v>
      </c>
    </row>
    <row r="23" spans="1:16" ht="5.25" customHeight="1" thickTop="1" x14ac:dyDescent="0.2">
      <c r="B23" s="5"/>
      <c r="C23" s="397"/>
      <c r="D23" s="214"/>
      <c r="E23" s="214"/>
      <c r="F23" s="403"/>
      <c r="H23" s="5"/>
      <c r="I23" s="397"/>
      <c r="J23" s="214"/>
      <c r="K23" s="214"/>
      <c r="L23" s="403"/>
    </row>
    <row r="24" spans="1:16" x14ac:dyDescent="0.2">
      <c r="B24" s="391" t="s">
        <v>76</v>
      </c>
      <c r="C24" s="397"/>
      <c r="D24" s="214"/>
      <c r="E24" s="214"/>
      <c r="F24" s="403"/>
      <c r="H24" s="391" t="s">
        <v>76</v>
      </c>
      <c r="I24" s="397"/>
      <c r="J24" s="214"/>
      <c r="K24" s="214"/>
      <c r="L24" s="403"/>
    </row>
    <row r="25" spans="1:16" x14ac:dyDescent="0.2">
      <c r="B25" s="391" t="s">
        <v>77</v>
      </c>
      <c r="C25" s="397"/>
      <c r="D25" s="214"/>
      <c r="E25" s="214"/>
      <c r="F25" s="403"/>
      <c r="H25" s="391" t="s">
        <v>77</v>
      </c>
      <c r="I25" s="397"/>
      <c r="J25" s="214"/>
      <c r="K25" s="214"/>
      <c r="L25" s="403"/>
    </row>
    <row r="26" spans="1:16" x14ac:dyDescent="0.2">
      <c r="A26" s="16">
        <v>120</v>
      </c>
      <c r="B26" s="5" t="s">
        <v>62</v>
      </c>
      <c r="C26" s="397"/>
      <c r="D26" s="210">
        <f>-(SUMIF(DATA!Q:Q,A26,DATA!T:T))</f>
        <v>5300000</v>
      </c>
      <c r="E26" s="210">
        <f>F26-D26</f>
        <v>0</v>
      </c>
      <c r="F26" s="403">
        <f>'situazione patrimoniale finanzi'!F28</f>
        <v>5300000</v>
      </c>
      <c r="H26" s="5" t="s">
        <v>62</v>
      </c>
      <c r="I26" s="397"/>
      <c r="J26" s="210">
        <f>-(SUMIF(DATA!Q:Q,A26,DATA!U:U))</f>
        <v>5300000</v>
      </c>
      <c r="K26" s="210">
        <f ca="1">L26-J26</f>
        <v>0</v>
      </c>
      <c r="L26" s="403">
        <f ca="1">'situazione patrimoniale finanzi'!E28</f>
        <v>5300000</v>
      </c>
    </row>
    <row r="27" spans="1:16" x14ac:dyDescent="0.2">
      <c r="A27" s="16">
        <v>130</v>
      </c>
      <c r="B27" s="5" t="s">
        <v>78</v>
      </c>
      <c r="C27" s="418" t="s">
        <v>1362</v>
      </c>
      <c r="D27" s="213">
        <f>-(SUMIF(DATA!Q:Q,A27,DATA!T:T))</f>
        <v>568917.81999999995</v>
      </c>
      <c r="E27" s="213">
        <f>F27-D27</f>
        <v>-932617.43660650135</v>
      </c>
      <c r="F27" s="403">
        <f>'situazione patrimoniale finanzi'!F29</f>
        <v>-363699.6166065014</v>
      </c>
      <c r="H27" s="5" t="s">
        <v>78</v>
      </c>
      <c r="I27" s="418" t="s">
        <v>1362</v>
      </c>
      <c r="J27" s="213">
        <f>-(SUMIF(DATA!Q:Q,A27,DATA!U:U))</f>
        <v>621214.81999999995</v>
      </c>
      <c r="K27" s="213">
        <f ca="1">L27-J27</f>
        <v>-932617.43660650135</v>
      </c>
      <c r="L27" s="403">
        <f ca="1">'situazione patrimoniale finanzi'!E29</f>
        <v>-311402.6166065014</v>
      </c>
      <c r="N27" s="202"/>
    </row>
    <row r="28" spans="1:16" ht="12" thickBot="1" x14ac:dyDescent="0.25">
      <c r="A28" s="16" t="s">
        <v>862</v>
      </c>
      <c r="B28" s="5" t="s">
        <v>925</v>
      </c>
      <c r="C28" s="418"/>
      <c r="D28" s="213">
        <f>SUMIF(DATA!F:F,A28,DATA!T:T)</f>
        <v>52296.989999984158</v>
      </c>
      <c r="E28" s="213"/>
      <c r="F28" s="403">
        <f ca="1">'situazione patrimoniale finanzi'!F30</f>
        <v>52296.990000001097</v>
      </c>
      <c r="H28" s="5" t="s">
        <v>925</v>
      </c>
      <c r="I28" s="418"/>
      <c r="J28" s="213">
        <f>SUMIF(DATA!F:F,A28,DATA!U:U)</f>
        <v>81300.330000002868</v>
      </c>
      <c r="K28" s="213">
        <f>L28-J28</f>
        <v>-282038.37368494284</v>
      </c>
      <c r="L28" s="403">
        <f>'situazione patrimoniale finanzi'!E30</f>
        <v>-200738.04368493997</v>
      </c>
      <c r="M28" s="202"/>
    </row>
    <row r="29" spans="1:16" ht="12" thickBot="1" x14ac:dyDescent="0.25">
      <c r="B29" s="408" t="s">
        <v>179</v>
      </c>
      <c r="C29" s="409"/>
      <c r="D29" s="410">
        <f>SUM(D26:D28)</f>
        <v>5921214.8099999847</v>
      </c>
      <c r="E29" s="410">
        <f ca="1">F29-D29</f>
        <v>-932617.4366064854</v>
      </c>
      <c r="F29" s="411">
        <f ca="1">SUM(F26:F28)</f>
        <v>4988597.3733934993</v>
      </c>
      <c r="H29" s="408" t="s">
        <v>179</v>
      </c>
      <c r="I29" s="409"/>
      <c r="J29" s="410">
        <f>SUM(J26:J28)</f>
        <v>6002515.1500000032</v>
      </c>
      <c r="K29" s="410">
        <f ca="1">L29-J29</f>
        <v>-1214655.8102914449</v>
      </c>
      <c r="L29" s="411">
        <f ca="1">SUM(L26:L28)</f>
        <v>4787859.3397085583</v>
      </c>
    </row>
    <row r="30" spans="1:16" ht="12" thickTop="1" x14ac:dyDescent="0.2">
      <c r="B30" s="391" t="s">
        <v>80</v>
      </c>
      <c r="C30" s="21"/>
      <c r="D30" s="214"/>
      <c r="E30" s="214"/>
      <c r="F30" s="403"/>
      <c r="H30" s="391" t="s">
        <v>80</v>
      </c>
      <c r="I30" s="21"/>
      <c r="J30" s="214"/>
      <c r="K30" s="214"/>
      <c r="L30" s="403"/>
    </row>
    <row r="31" spans="1:16" x14ac:dyDescent="0.2">
      <c r="A31" s="16">
        <v>140</v>
      </c>
      <c r="B31" s="5" t="s">
        <v>81</v>
      </c>
      <c r="C31" s="21" t="s">
        <v>1363</v>
      </c>
      <c r="D31" s="209">
        <f>-(SUMIF(DATA!Q:Q,A31,DATA!T:T))</f>
        <v>284077.99</v>
      </c>
      <c r="E31" s="209">
        <f>F31-D31</f>
        <v>-55866.16</v>
      </c>
      <c r="F31" s="403">
        <f>'situazione patrimoniale finanzi'!F33</f>
        <v>228211.83</v>
      </c>
      <c r="G31" s="215"/>
      <c r="H31" s="5" t="s">
        <v>81</v>
      </c>
      <c r="I31" s="21" t="s">
        <v>1363</v>
      </c>
      <c r="J31" s="209">
        <f>-(SUMIF(DATA!Q:Q,A31,DATA!U:U))</f>
        <v>228327.46</v>
      </c>
      <c r="K31" s="209">
        <f ca="1">L31-J31</f>
        <v>-13155.819999999978</v>
      </c>
      <c r="L31" s="403">
        <f ca="1">'situazione patrimoniale finanzi'!E33</f>
        <v>215171.64</v>
      </c>
      <c r="N31" s="215"/>
      <c r="P31" s="215"/>
    </row>
    <row r="32" spans="1:16" x14ac:dyDescent="0.2">
      <c r="A32" s="16">
        <v>150</v>
      </c>
      <c r="B32" s="5" t="s">
        <v>82</v>
      </c>
      <c r="C32" s="418" t="s">
        <v>1364</v>
      </c>
      <c r="D32" s="213">
        <f>-(SUMIF(DATA!Q:Q,A32,DATA!T:T))</f>
        <v>858782.17999999993</v>
      </c>
      <c r="E32" s="213">
        <f>F32-D32</f>
        <v>3409.3000000000466</v>
      </c>
      <c r="F32" s="403">
        <f>'situazione patrimoniale finanzi'!F34</f>
        <v>862191.48</v>
      </c>
      <c r="G32" s="215"/>
      <c r="H32" s="5" t="s">
        <v>82</v>
      </c>
      <c r="I32" s="418" t="s">
        <v>1364</v>
      </c>
      <c r="J32" s="213">
        <f>-(SUMIF(DATA!Q:Q,A32,DATA!U:U))</f>
        <v>912709.8</v>
      </c>
      <c r="K32" s="213">
        <f ca="1">L32-J32</f>
        <v>33192.429999999935</v>
      </c>
      <c r="L32" s="403">
        <f ca="1">'situazione patrimoniale finanzi'!E34</f>
        <v>945902.23</v>
      </c>
      <c r="N32" s="215"/>
      <c r="P32" s="215"/>
    </row>
    <row r="33" spans="1:15" x14ac:dyDescent="0.2">
      <c r="A33" s="16">
        <v>170</v>
      </c>
      <c r="B33" s="5" t="s">
        <v>84</v>
      </c>
      <c r="C33" s="418" t="s">
        <v>1360</v>
      </c>
      <c r="D33" s="213">
        <f>-(SUMIF(DATA!Q:Q,A33,DATA!T:T))</f>
        <v>54668.22</v>
      </c>
      <c r="E33" s="213">
        <f>F33-D33</f>
        <v>3016060.0606699996</v>
      </c>
      <c r="F33" s="403">
        <f>'situazione patrimoniale finanzi'!F35</f>
        <v>3070728.2806699998</v>
      </c>
      <c r="G33" s="215"/>
      <c r="H33" s="5" t="s">
        <v>84</v>
      </c>
      <c r="I33" s="418" t="s">
        <v>1360</v>
      </c>
      <c r="J33" s="213">
        <f>-(SUMIF(DATA!Q:Q,A33,DATA!U:U))</f>
        <v>65874.22</v>
      </c>
      <c r="K33" s="213">
        <f ca="1">L33-J33</f>
        <v>2933943.5593371405</v>
      </c>
      <c r="L33" s="403">
        <f ca="1">'situazione patrimoniale finanzi'!E35</f>
        <v>2999817.7793371407</v>
      </c>
    </row>
    <row r="34" spans="1:15" ht="12" thickBot="1" x14ac:dyDescent="0.25">
      <c r="A34" s="16">
        <v>160</v>
      </c>
      <c r="B34" s="5" t="s">
        <v>926</v>
      </c>
      <c r="C34" s="418" t="s">
        <v>1365</v>
      </c>
      <c r="D34" s="213">
        <f>-(SUMIF(DATA!Q:Q,A34,DATA!T:T))</f>
        <v>4011523.49</v>
      </c>
      <c r="E34" s="213">
        <f>F34-D34</f>
        <v>-9100</v>
      </c>
      <c r="F34" s="403">
        <f>'situazione patrimoniale finanzi'!F36</f>
        <v>4002423.49</v>
      </c>
      <c r="G34" s="215"/>
      <c r="H34" s="5" t="s">
        <v>926</v>
      </c>
      <c r="I34" s="418" t="s">
        <v>1365</v>
      </c>
      <c r="J34" s="213">
        <f>-(SUMIF(DATA!Q:Q,A34,DATA!U:U))</f>
        <v>5323966.9399999995</v>
      </c>
      <c r="K34" s="213">
        <f ca="1">L34-J34</f>
        <v>-177344.93000000063</v>
      </c>
      <c r="L34" s="403">
        <f ca="1">'situazione patrimoniale finanzi'!E36</f>
        <v>5146622.0099999988</v>
      </c>
    </row>
    <row r="35" spans="1:15" ht="12" thickBot="1" x14ac:dyDescent="0.25">
      <c r="B35" s="408" t="s">
        <v>85</v>
      </c>
      <c r="C35" s="409"/>
      <c r="D35" s="410">
        <f>SUM(D31:D34)</f>
        <v>5209051.88</v>
      </c>
      <c r="E35" s="410">
        <f>F35-D35</f>
        <v>2954503.2006700002</v>
      </c>
      <c r="F35" s="411">
        <f>SUM(F31:F34)</f>
        <v>8163555.0806700001</v>
      </c>
      <c r="H35" s="408" t="s">
        <v>85</v>
      </c>
      <c r="I35" s="409"/>
      <c r="J35" s="410">
        <f>SUM(J31:J34)</f>
        <v>6530878.4199999999</v>
      </c>
      <c r="K35" s="410">
        <f ca="1">L35-J35</f>
        <v>2776635.2393371407</v>
      </c>
      <c r="L35" s="411">
        <f ca="1">SUM(L31:L34)</f>
        <v>9307513.6593371406</v>
      </c>
      <c r="N35" s="215"/>
      <c r="O35" s="215"/>
    </row>
    <row r="36" spans="1:15" ht="12" thickTop="1" x14ac:dyDescent="0.2">
      <c r="B36" s="391" t="s">
        <v>86</v>
      </c>
      <c r="C36" s="397"/>
      <c r="D36" s="214"/>
      <c r="E36" s="214"/>
      <c r="F36" s="403"/>
      <c r="H36" s="391" t="s">
        <v>86</v>
      </c>
      <c r="I36" s="397"/>
      <c r="J36" s="214"/>
      <c r="K36" s="214"/>
      <c r="L36" s="403"/>
    </row>
    <row r="37" spans="1:15" x14ac:dyDescent="0.2">
      <c r="A37" s="16">
        <v>190</v>
      </c>
      <c r="B37" s="5" t="s">
        <v>927</v>
      </c>
      <c r="C37" s="397"/>
      <c r="D37" s="209">
        <f>-(SUMIF(DATA!Q:Q,A37,DATA!T:T))</f>
        <v>9278650.3300000001</v>
      </c>
      <c r="E37" s="209">
        <f>F37-D37</f>
        <v>0</v>
      </c>
      <c r="F37" s="403">
        <f>'situazione patrimoniale finanzi'!F39</f>
        <v>9278650.3300000001</v>
      </c>
      <c r="H37" s="5" t="s">
        <v>927</v>
      </c>
      <c r="I37" s="397"/>
      <c r="J37" s="209">
        <f>-(SUMIF(DATA!Q:Q,A37,DATA!U:U))</f>
        <v>11322163.42</v>
      </c>
      <c r="K37" s="209">
        <f ca="1">L37-J37</f>
        <v>0</v>
      </c>
      <c r="L37" s="403">
        <f ca="1">'situazione patrimoniale finanzi'!E39</f>
        <v>11322163.42</v>
      </c>
    </row>
    <row r="38" spans="1:15" x14ac:dyDescent="0.2">
      <c r="A38" s="16">
        <v>220</v>
      </c>
      <c r="B38" s="5" t="s">
        <v>180</v>
      </c>
      <c r="C38" s="397"/>
      <c r="D38" s="209">
        <f>-(SUMIF(DATA!Q:Q,A38,DATA!T:T))</f>
        <v>927105.95000000007</v>
      </c>
      <c r="E38" s="209">
        <f>F38-D38</f>
        <v>0</v>
      </c>
      <c r="F38" s="403">
        <f>'situazione patrimoniale finanzi'!F40</f>
        <v>927105.95000000007</v>
      </c>
      <c r="H38" s="5" t="s">
        <v>180</v>
      </c>
      <c r="I38" s="397"/>
      <c r="J38" s="209">
        <f>-(SUMIF(DATA!Q:Q,A38,DATA!U:U))</f>
        <v>892177.54999999993</v>
      </c>
      <c r="K38" s="209">
        <f ca="1">L38-J38</f>
        <v>0</v>
      </c>
      <c r="L38" s="403">
        <f ca="1">'situazione patrimoniale finanzi'!E40</f>
        <v>892177.54999999993</v>
      </c>
    </row>
    <row r="39" spans="1:15" x14ac:dyDescent="0.2">
      <c r="A39" s="16">
        <v>200</v>
      </c>
      <c r="B39" s="5" t="s">
        <v>860</v>
      </c>
      <c r="C39" s="397" t="s">
        <v>1366</v>
      </c>
      <c r="D39" s="209">
        <f>-(SUMIF(DATA!Q:Q,A39,DATA!T:T))</f>
        <v>2735466.5900000003</v>
      </c>
      <c r="E39" s="209">
        <f>F39-D39</f>
        <v>6489.7540036463179</v>
      </c>
      <c r="F39" s="403">
        <f>'situazione patrimoniale finanzi'!F41</f>
        <v>2741956.3440036466</v>
      </c>
      <c r="G39" s="215"/>
      <c r="H39" s="5" t="s">
        <v>860</v>
      </c>
      <c r="I39" s="397" t="s">
        <v>1366</v>
      </c>
      <c r="J39" s="209">
        <f>-(SUMIF(DATA!Q:Q,A39,DATA!U:U))</f>
        <v>2636081.77</v>
      </c>
      <c r="K39" s="209">
        <f ca="1">L39-J39</f>
        <v>5356.8947618943639</v>
      </c>
      <c r="L39" s="403">
        <f ca="1">'situazione patrimoniale finanzi'!E41</f>
        <v>2641438.6647618944</v>
      </c>
    </row>
    <row r="40" spans="1:15" ht="12" thickBot="1" x14ac:dyDescent="0.25">
      <c r="A40" s="16">
        <v>210</v>
      </c>
      <c r="B40" s="5" t="s">
        <v>1</v>
      </c>
      <c r="C40" s="397" t="s">
        <v>1365</v>
      </c>
      <c r="D40" s="209">
        <f>-(SUMIF(DATA!Q:Q,A40,DATA!T:T))+81014</f>
        <v>7921534.8799999999</v>
      </c>
      <c r="E40" s="209">
        <f>F40-D40</f>
        <v>0</v>
      </c>
      <c r="F40" s="403">
        <f>'situazione patrimoniale finanzi'!F42</f>
        <v>7921534.8799999999</v>
      </c>
      <c r="H40" s="5" t="s">
        <v>1</v>
      </c>
      <c r="I40" s="397" t="s">
        <v>1365</v>
      </c>
      <c r="J40" s="209">
        <f>-(SUMIF(DATA!Q:Q,A40,DATA!U:U))</f>
        <v>8741797.4600000009</v>
      </c>
      <c r="K40" s="209">
        <f ca="1">L40-J40</f>
        <v>6145.9199999999255</v>
      </c>
      <c r="L40" s="403">
        <f ca="1">'situazione patrimoniale finanzi'!E42</f>
        <v>8747943.3800000008</v>
      </c>
    </row>
    <row r="41" spans="1:15" ht="12" thickBot="1" x14ac:dyDescent="0.25">
      <c r="B41" s="408" t="s">
        <v>87</v>
      </c>
      <c r="C41" s="409"/>
      <c r="D41" s="410">
        <f>SUM(D37:D40)</f>
        <v>20862757.75</v>
      </c>
      <c r="E41" s="410">
        <f>F41-D41</f>
        <v>6489.7540036439896</v>
      </c>
      <c r="F41" s="411">
        <f>SUM(F37:F40)</f>
        <v>20869247.504003644</v>
      </c>
      <c r="H41" s="408" t="s">
        <v>87</v>
      </c>
      <c r="I41" s="409"/>
      <c r="J41" s="410">
        <f>SUM(J37:J40)</f>
        <v>23592220.200000003</v>
      </c>
      <c r="K41" s="410">
        <f ca="1">L41-J41</f>
        <v>11502.814761891961</v>
      </c>
      <c r="L41" s="411">
        <f ca="1">SUM(L37:L40)</f>
        <v>23603723.014761895</v>
      </c>
    </row>
    <row r="42" spans="1:15" ht="5.25" customHeight="1" thickTop="1" thickBot="1" x14ac:dyDescent="0.25">
      <c r="B42" s="5"/>
      <c r="D42" s="214"/>
      <c r="E42" s="214"/>
      <c r="F42" s="403"/>
      <c r="H42" s="5"/>
      <c r="J42" s="214"/>
      <c r="K42" s="214"/>
      <c r="L42" s="403"/>
    </row>
    <row r="43" spans="1:15" ht="12" thickBot="1" x14ac:dyDescent="0.25">
      <c r="B43" s="390" t="s">
        <v>88</v>
      </c>
      <c r="C43" s="393"/>
      <c r="D43" s="293">
        <f>D41+D35+D29</f>
        <v>31993024.439999983</v>
      </c>
      <c r="E43" s="293">
        <f ca="1">F43-D43</f>
        <v>2028375.5180671588</v>
      </c>
      <c r="F43" s="294">
        <f ca="1">F41+F35+F29</f>
        <v>34021399.958067141</v>
      </c>
      <c r="H43" s="390" t="s">
        <v>88</v>
      </c>
      <c r="I43" s="393"/>
      <c r="J43" s="293">
        <f>J41+J35+J29</f>
        <v>36125613.770000011</v>
      </c>
      <c r="K43" s="293">
        <f ca="1">L43-J43</f>
        <v>1573482.243807584</v>
      </c>
      <c r="L43" s="294">
        <f ca="1">L41+L35+L29</f>
        <v>37699096.013807595</v>
      </c>
    </row>
    <row r="45" spans="1:15" x14ac:dyDescent="0.2">
      <c r="D45" s="202">
        <f>D43-D22</f>
        <v>0</v>
      </c>
      <c r="E45" s="202">
        <f ca="1">E43-E22</f>
        <v>1.4901161193847656E-8</v>
      </c>
      <c r="F45" s="202"/>
      <c r="J45" s="202"/>
      <c r="K45" s="202"/>
      <c r="L45" s="202"/>
    </row>
    <row r="46" spans="1:15" ht="12" thickBot="1" x14ac:dyDescent="0.25">
      <c r="B46" s="387"/>
      <c r="H46" s="387" t="s">
        <v>89</v>
      </c>
    </row>
    <row r="47" spans="1:15" ht="12" thickBot="1" x14ac:dyDescent="0.25">
      <c r="H47" s="597" t="s">
        <v>1406</v>
      </c>
      <c r="I47" s="597" t="s">
        <v>66</v>
      </c>
      <c r="J47" s="30" t="s">
        <v>176</v>
      </c>
      <c r="K47" s="597" t="s">
        <v>181</v>
      </c>
      <c r="L47" s="30" t="s">
        <v>67</v>
      </c>
    </row>
    <row r="48" spans="1:15" ht="12" thickBot="1" x14ac:dyDescent="0.25">
      <c r="H48" s="598"/>
      <c r="I48" s="598"/>
      <c r="J48" s="398">
        <v>42004</v>
      </c>
      <c r="K48" s="598"/>
      <c r="L48" s="398">
        <v>42004</v>
      </c>
    </row>
    <row r="49" spans="7:12" x14ac:dyDescent="0.2">
      <c r="H49" s="391" t="s">
        <v>1119</v>
      </c>
      <c r="I49" s="397"/>
      <c r="J49" s="419"/>
      <c r="K49" s="419"/>
      <c r="L49" s="28"/>
    </row>
    <row r="50" spans="7:12" x14ac:dyDescent="0.2">
      <c r="G50" s="16">
        <v>500</v>
      </c>
      <c r="H50" s="5" t="s">
        <v>574</v>
      </c>
      <c r="I50" s="397"/>
      <c r="J50" s="402">
        <f>-(SUMIF(DATA!Q:Q,G50,DATA!U:U))</f>
        <v>26577038.399999995</v>
      </c>
      <c r="K50" s="213">
        <f>L50-J50</f>
        <v>0</v>
      </c>
      <c r="L50" s="403">
        <f>-SUMIF(DATA!Q:Q,G50,DATA!N:N)</f>
        <v>26577038.399999995</v>
      </c>
    </row>
    <row r="51" spans="7:12" x14ac:dyDescent="0.2">
      <c r="G51" s="16">
        <v>510</v>
      </c>
      <c r="H51" s="5" t="s">
        <v>1120</v>
      </c>
      <c r="I51" s="397"/>
      <c r="J51" s="402">
        <f>-(SUMIF(DATA!Q:Q,G51,DATA!U:U))</f>
        <v>345199</v>
      </c>
      <c r="K51" s="213">
        <f t="shared" ref="K51:K52" si="6">L51-J51</f>
        <v>0</v>
      </c>
      <c r="L51" s="403">
        <f>-SUMIF(DATA!Q:Q,G51,DATA!N:N)</f>
        <v>345199</v>
      </c>
    </row>
    <row r="52" spans="7:12" x14ac:dyDescent="0.2">
      <c r="G52" s="16">
        <v>520</v>
      </c>
      <c r="H52" s="5" t="s">
        <v>144</v>
      </c>
      <c r="I52" s="397"/>
      <c r="J52" s="402">
        <f>-(SUMIF(DATA!Q:Q,G52,DATA!U:U))</f>
        <v>350873.19999999995</v>
      </c>
      <c r="K52" s="213">
        <f t="shared" si="6"/>
        <v>-5385.060758248088</v>
      </c>
      <c r="L52" s="403">
        <f>-SUMIF(DATA!Q:Q,G52,DATA!N:N)</f>
        <v>345488.13924175187</v>
      </c>
    </row>
    <row r="53" spans="7:12" ht="12" thickBot="1" x14ac:dyDescent="0.25">
      <c r="H53" s="5"/>
      <c r="I53" s="397"/>
      <c r="J53" s="213"/>
      <c r="K53" s="213"/>
      <c r="L53" s="225"/>
    </row>
    <row r="54" spans="7:12" ht="12" thickBot="1" x14ac:dyDescent="0.25">
      <c r="H54" s="390" t="s">
        <v>1121</v>
      </c>
      <c r="I54" s="420"/>
      <c r="J54" s="293">
        <f>SUM(J49:J52)</f>
        <v>27273110.599999994</v>
      </c>
      <c r="K54" s="293">
        <f t="shared" ref="K54" si="7">SUM(K49:K52)</f>
        <v>-5385.060758248088</v>
      </c>
      <c r="L54" s="294">
        <f>SUM(L49:L52)</f>
        <v>27267725.539241746</v>
      </c>
    </row>
    <row r="55" spans="7:12" x14ac:dyDescent="0.2">
      <c r="H55" s="421"/>
      <c r="I55" s="399"/>
      <c r="J55" s="422"/>
      <c r="K55" s="422"/>
      <c r="L55" s="423"/>
    </row>
    <row r="56" spans="7:12" x14ac:dyDescent="0.2">
      <c r="H56" s="391" t="s">
        <v>1122</v>
      </c>
      <c r="I56" s="392"/>
      <c r="J56" s="295"/>
      <c r="K56" s="295"/>
      <c r="L56" s="225"/>
    </row>
    <row r="57" spans="7:12" x14ac:dyDescent="0.2">
      <c r="G57" s="16">
        <v>540</v>
      </c>
      <c r="H57" s="5" t="s">
        <v>1070</v>
      </c>
      <c r="I57" s="392"/>
      <c r="J57" s="402">
        <f>(SUMIF(DATA!Q:Q,G57,DATA!U:U))</f>
        <v>15216488.599999998</v>
      </c>
      <c r="K57" s="213">
        <f>L57-J57</f>
        <v>0</v>
      </c>
      <c r="L57" s="403">
        <f>SUMIF(DATA!Q:Q,G57,DATA!N:N)</f>
        <v>15216488.599999998</v>
      </c>
    </row>
    <row r="58" spans="7:12" x14ac:dyDescent="0.2">
      <c r="G58" s="16">
        <v>550</v>
      </c>
      <c r="H58" s="5" t="s">
        <v>638</v>
      </c>
      <c r="I58" s="392" t="s">
        <v>1390</v>
      </c>
      <c r="J58" s="402">
        <f>(SUMIF(DATA!Q:Q,G58,DATA!U:U))</f>
        <v>6750472.1900000023</v>
      </c>
      <c r="K58" s="213">
        <f t="shared" ref="K58:K62" si="8">L58-J58</f>
        <v>269323.71999999881</v>
      </c>
      <c r="L58" s="403">
        <f>SUMIF(DATA!Q:Q,G58,DATA!N:N)</f>
        <v>7019795.9100000011</v>
      </c>
    </row>
    <row r="59" spans="7:12" x14ac:dyDescent="0.2">
      <c r="G59" s="16">
        <v>560</v>
      </c>
      <c r="H59" s="5" t="s">
        <v>1123</v>
      </c>
      <c r="I59" s="392" t="s">
        <v>1364</v>
      </c>
      <c r="J59" s="402">
        <f>(SUMIF(DATA!Q:Q,G59,DATA!U:U))</f>
        <v>2786754.2</v>
      </c>
      <c r="K59" s="213">
        <f t="shared" si="8"/>
        <v>4987.5800000000745</v>
      </c>
      <c r="L59" s="403">
        <f>SUMIF(DATA!Q:Q,G59,DATA!N:N)</f>
        <v>2791741.7800000003</v>
      </c>
    </row>
    <row r="60" spans="7:12" x14ac:dyDescent="0.2">
      <c r="G60" s="16" t="s">
        <v>1124</v>
      </c>
      <c r="H60" s="5" t="s">
        <v>1125</v>
      </c>
      <c r="I60" s="392"/>
      <c r="J60" s="402">
        <f>-(SUMIF(DATA!Q:Q,G60,DATA!U:U))</f>
        <v>0</v>
      </c>
      <c r="K60" s="213">
        <f t="shared" si="8"/>
        <v>0</v>
      </c>
      <c r="L60" s="403">
        <f>SUMIF(DATA!Q:Q,G60,DATA!N:N)</f>
        <v>0</v>
      </c>
    </row>
    <row r="61" spans="7:12" x14ac:dyDescent="0.2">
      <c r="G61" s="16">
        <v>580</v>
      </c>
      <c r="H61" s="5" t="s">
        <v>1126</v>
      </c>
      <c r="I61" s="392"/>
      <c r="J61" s="402">
        <f>-(SUMIF(DATA!Q:Q,G61,DATA!U:U))</f>
        <v>0</v>
      </c>
      <c r="K61" s="213">
        <f t="shared" si="8"/>
        <v>0</v>
      </c>
      <c r="L61" s="403">
        <f>SUMIF(DATA!Q:Q,G61,DATA!N:N)</f>
        <v>0</v>
      </c>
    </row>
    <row r="62" spans="7:12" x14ac:dyDescent="0.2">
      <c r="G62" s="16">
        <v>590</v>
      </c>
      <c r="H62" s="5" t="s">
        <v>1127</v>
      </c>
      <c r="I62" s="392"/>
      <c r="J62" s="402">
        <f>(SUMIF(DATA!Q:Q,G62,DATA!U:U))</f>
        <v>674667.03999999992</v>
      </c>
      <c r="K62" s="213">
        <f t="shared" si="8"/>
        <v>0</v>
      </c>
      <c r="L62" s="403">
        <f>SUMIF(DATA!Q:Q,G62,DATA!N:N)</f>
        <v>674667.03999999992</v>
      </c>
    </row>
    <row r="63" spans="7:12" ht="12" thickBot="1" x14ac:dyDescent="0.25">
      <c r="H63" s="5"/>
      <c r="I63" s="392"/>
      <c r="J63" s="295"/>
      <c r="K63" s="295"/>
      <c r="L63" s="225"/>
    </row>
    <row r="64" spans="7:12" ht="12" thickBot="1" x14ac:dyDescent="0.25">
      <c r="H64" s="390" t="s">
        <v>1128</v>
      </c>
      <c r="I64" s="393"/>
      <c r="J64" s="424">
        <f>SUM(J57:J62)</f>
        <v>25428382.029999997</v>
      </c>
      <c r="K64" s="424">
        <f t="shared" ref="K64" si="9">SUM(K57:K62)</f>
        <v>274311.29999999888</v>
      </c>
      <c r="L64" s="425">
        <f>SUM(L57:L62)</f>
        <v>25702693.329999998</v>
      </c>
    </row>
    <row r="65" spans="7:12" ht="12" thickBot="1" x14ac:dyDescent="0.25">
      <c r="H65" s="5"/>
      <c r="I65" s="392"/>
      <c r="J65" s="295"/>
      <c r="K65" s="295"/>
      <c r="L65" s="225"/>
    </row>
    <row r="66" spans="7:12" ht="12" thickBot="1" x14ac:dyDescent="0.25">
      <c r="H66" s="390" t="s">
        <v>1129</v>
      </c>
      <c r="I66" s="393"/>
      <c r="J66" s="293">
        <f>J54-J64</f>
        <v>1844728.5699999966</v>
      </c>
      <c r="K66" s="293">
        <f t="shared" ref="K66" si="10">K54-K64</f>
        <v>-279696.36075824697</v>
      </c>
      <c r="L66" s="294">
        <f>L54-L64</f>
        <v>1565032.2092417479</v>
      </c>
    </row>
    <row r="67" spans="7:12" x14ac:dyDescent="0.2">
      <c r="H67" s="5"/>
      <c r="I67" s="392"/>
      <c r="J67" s="295"/>
      <c r="K67" s="295"/>
      <c r="L67" s="225"/>
    </row>
    <row r="68" spans="7:12" x14ac:dyDescent="0.2">
      <c r="G68" s="16">
        <v>570</v>
      </c>
      <c r="H68" s="5" t="s">
        <v>90</v>
      </c>
      <c r="I68" s="392" t="s">
        <v>1389</v>
      </c>
      <c r="J68" s="402">
        <f>(SUMIF(DATA!Q:Q,G68,DATA!U:U))</f>
        <v>724353.91999999993</v>
      </c>
      <c r="K68" s="213">
        <f t="shared" ref="K68" si="11">L68-J68</f>
        <v>87399.400750373956</v>
      </c>
      <c r="L68" s="403">
        <f>SUMIF(DATA!Q:Q,G68,DATA!N:N)</f>
        <v>811753.32075037388</v>
      </c>
    </row>
    <row r="69" spans="7:12" ht="12" thickBot="1" x14ac:dyDescent="0.25">
      <c r="H69" s="5"/>
      <c r="I69" s="392"/>
      <c r="J69" s="295"/>
      <c r="K69" s="295"/>
      <c r="L69" s="225"/>
    </row>
    <row r="70" spans="7:12" ht="12" thickBot="1" x14ac:dyDescent="0.25">
      <c r="H70" s="390" t="s">
        <v>1130</v>
      </c>
      <c r="I70" s="393"/>
      <c r="J70" s="293">
        <f>J66-J68</f>
        <v>1120374.6499999966</v>
      </c>
      <c r="K70" s="293">
        <f t="shared" ref="K70" si="12">K66-K68</f>
        <v>-367095.76150862093</v>
      </c>
      <c r="L70" s="294">
        <f>L66-L68</f>
        <v>753278.88849137397</v>
      </c>
    </row>
    <row r="71" spans="7:12" x14ac:dyDescent="0.2">
      <c r="H71" s="5"/>
      <c r="I71" s="392"/>
      <c r="J71" s="295"/>
      <c r="K71" s="295"/>
      <c r="L71" s="225"/>
    </row>
    <row r="72" spans="7:12" x14ac:dyDescent="0.2">
      <c r="G72" s="16">
        <v>600</v>
      </c>
      <c r="H72" s="5" t="s">
        <v>1131</v>
      </c>
      <c r="I72" s="392" t="s">
        <v>1391</v>
      </c>
      <c r="J72" s="402">
        <f>-(SUMIF(DATA!Q:Q,G72,DATA!U:U))</f>
        <v>-796870.32</v>
      </c>
      <c r="K72" s="213">
        <f t="shared" ref="K72" si="13">L72-J72</f>
        <v>22204.329999999958</v>
      </c>
      <c r="L72" s="403">
        <f>-SUMIF(DATA!Q:Q,G72,DATA!N:N)</f>
        <v>-774665.99</v>
      </c>
    </row>
    <row r="73" spans="7:12" ht="12" thickBot="1" x14ac:dyDescent="0.25">
      <c r="H73" s="5"/>
      <c r="I73" s="392"/>
      <c r="J73" s="295"/>
      <c r="K73" s="295"/>
      <c r="L73" s="225"/>
    </row>
    <row r="74" spans="7:12" ht="12" thickBot="1" x14ac:dyDescent="0.25">
      <c r="H74" s="390" t="s">
        <v>94</v>
      </c>
      <c r="I74" s="393"/>
      <c r="J74" s="293">
        <f>J70+J72</f>
        <v>323504.3299999967</v>
      </c>
      <c r="K74" s="293">
        <f>K70+K72</f>
        <v>-344891.43150862097</v>
      </c>
      <c r="L74" s="294">
        <f>L70+L72</f>
        <v>-21387.101508626016</v>
      </c>
    </row>
    <row r="75" spans="7:12" x14ac:dyDescent="0.2">
      <c r="H75" s="391"/>
      <c r="I75" s="426"/>
      <c r="J75" s="427"/>
      <c r="K75" s="427"/>
      <c r="L75" s="428"/>
    </row>
    <row r="76" spans="7:12" x14ac:dyDescent="0.2">
      <c r="G76" s="16">
        <v>620</v>
      </c>
      <c r="H76" s="5" t="s">
        <v>95</v>
      </c>
      <c r="I76" s="418" t="s">
        <v>1361</v>
      </c>
      <c r="J76" s="402">
        <f>(SUMIF(DATA!Q:Q,G76,DATA!U:U))</f>
        <v>242204</v>
      </c>
      <c r="K76" s="213">
        <f t="shared" ref="K76" si="14">L76-J76</f>
        <v>-109161.87836370728</v>
      </c>
      <c r="L76" s="403">
        <f>SUMIF(DATA!Q:Q,G76,DATA!N:N)</f>
        <v>133042.12163629272</v>
      </c>
    </row>
    <row r="77" spans="7:12" ht="12" thickBot="1" x14ac:dyDescent="0.25">
      <c r="H77" s="5"/>
      <c r="I77" s="418"/>
      <c r="J77" s="213"/>
      <c r="K77" s="213"/>
      <c r="L77" s="225"/>
    </row>
    <row r="78" spans="7:12" ht="12" thickBot="1" x14ac:dyDescent="0.25">
      <c r="H78" s="390" t="s">
        <v>1132</v>
      </c>
      <c r="I78" s="393"/>
      <c r="J78" s="293">
        <f>J74-J76</f>
        <v>81300.329999996698</v>
      </c>
      <c r="K78" s="293">
        <f t="shared" ref="K78" si="15">K74-K76</f>
        <v>-235729.55314491369</v>
      </c>
      <c r="L78" s="294">
        <f>L74-L76</f>
        <v>-154429.22314491874</v>
      </c>
    </row>
    <row r="79" spans="7:12" x14ac:dyDescent="0.2">
      <c r="H79" s="5"/>
      <c r="I79" s="418"/>
      <c r="J79" s="213"/>
      <c r="K79" s="213"/>
      <c r="L79" s="225"/>
    </row>
    <row r="80" spans="7:12" ht="22.5" x14ac:dyDescent="0.2">
      <c r="H80" s="394" t="s">
        <v>96</v>
      </c>
      <c r="I80" s="418"/>
      <c r="J80" s="213"/>
      <c r="K80" s="213"/>
      <c r="L80" s="225"/>
    </row>
    <row r="81" spans="7:14" ht="22.5" x14ac:dyDescent="0.2">
      <c r="G81" s="16">
        <v>640</v>
      </c>
      <c r="H81" s="395" t="s">
        <v>1133</v>
      </c>
      <c r="I81" s="418" t="s">
        <v>1364</v>
      </c>
      <c r="J81" s="402">
        <f>-(SUMIF(DATA!Q:Q,G81,DATA!U:U))</f>
        <v>0</v>
      </c>
      <c r="K81" s="213">
        <f t="shared" ref="K81" si="16">L81-J81</f>
        <v>-46309.040540000016</v>
      </c>
      <c r="L81" s="403">
        <f>-SUMIF(DATA!Q:Q,G81,DATA!N:N)</f>
        <v>-46309.040540000016</v>
      </c>
    </row>
    <row r="82" spans="7:14" ht="12" thickBot="1" x14ac:dyDescent="0.25">
      <c r="H82" s="395"/>
      <c r="I82" s="418"/>
      <c r="J82" s="213"/>
      <c r="K82" s="213"/>
      <c r="L82" s="225"/>
    </row>
    <row r="83" spans="7:14" ht="12" thickBot="1" x14ac:dyDescent="0.25">
      <c r="H83" s="390" t="s">
        <v>97</v>
      </c>
      <c r="I83" s="393"/>
      <c r="J83" s="293">
        <f>J78+J81</f>
        <v>81300.329999996698</v>
      </c>
      <c r="K83" s="293">
        <f t="shared" ref="K83:L83" si="17">K78+K81</f>
        <v>-282038.59368491371</v>
      </c>
      <c r="L83" s="294">
        <f t="shared" si="17"/>
        <v>-200738.26368491875</v>
      </c>
      <c r="N83" s="215"/>
    </row>
  </sheetData>
  <mergeCells count="9">
    <mergeCell ref="H47:H48"/>
    <mergeCell ref="I47:I48"/>
    <mergeCell ref="K47:K48"/>
    <mergeCell ref="B2:B3"/>
    <mergeCell ref="C2:C3"/>
    <mergeCell ref="E2:E3"/>
    <mergeCell ref="H2:H3"/>
    <mergeCell ref="I2:I3"/>
    <mergeCell ref="K2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35"/>
  <sheetViews>
    <sheetView workbookViewId="0">
      <selection activeCell="B1" sqref="B1:B1048576"/>
    </sheetView>
  </sheetViews>
  <sheetFormatPr defaultColWidth="9.125" defaultRowHeight="11.25" x14ac:dyDescent="0.2"/>
  <cols>
    <col min="1" max="1" width="9.125" style="16"/>
    <col min="2" max="2" width="28.125" style="16" customWidth="1"/>
    <col min="3" max="8" width="10.25" style="16" customWidth="1"/>
    <col min="9" max="10" width="9.125" style="16"/>
    <col min="11" max="11" width="21.75" style="16" bestFit="1" customWidth="1"/>
    <col min="12" max="12" width="11.25" style="16" bestFit="1" customWidth="1"/>
    <col min="13" max="17" width="11.625" style="16" customWidth="1"/>
    <col min="18" max="16384" width="9.125" style="16"/>
  </cols>
  <sheetData>
    <row r="1" spans="2:8" ht="12" thickBot="1" x14ac:dyDescent="0.25"/>
    <row r="2" spans="2:8" ht="23.25" thickBot="1" x14ac:dyDescent="0.25">
      <c r="B2" s="599" t="s">
        <v>98</v>
      </c>
      <c r="C2" s="29" t="s">
        <v>99</v>
      </c>
      <c r="D2" s="30" t="s">
        <v>100</v>
      </c>
      <c r="E2" s="30" t="s">
        <v>101</v>
      </c>
      <c r="F2" s="30" t="s">
        <v>102</v>
      </c>
      <c r="G2" s="30" t="s">
        <v>1311</v>
      </c>
      <c r="H2" s="29" t="s">
        <v>99</v>
      </c>
    </row>
    <row r="3" spans="2:8" ht="12" thickBot="1" x14ac:dyDescent="0.25">
      <c r="B3" s="600"/>
      <c r="C3" s="31">
        <v>41640</v>
      </c>
      <c r="D3" s="31">
        <v>41639</v>
      </c>
      <c r="E3" s="31">
        <v>42004</v>
      </c>
      <c r="F3" s="31">
        <v>42004</v>
      </c>
      <c r="G3" s="31">
        <v>42004</v>
      </c>
      <c r="H3" s="31">
        <v>42004</v>
      </c>
    </row>
    <row r="4" spans="2:8" x14ac:dyDescent="0.2">
      <c r="B4" s="5" t="s">
        <v>103</v>
      </c>
      <c r="C4" s="213">
        <f>+-DATA!M181</f>
        <v>5300000</v>
      </c>
      <c r="D4" s="214"/>
      <c r="E4" s="214"/>
      <c r="F4" s="214"/>
      <c r="G4" s="214"/>
      <c r="H4" s="204">
        <f>SUM(C4:G4)</f>
        <v>5300000</v>
      </c>
    </row>
    <row r="5" spans="2:8" x14ac:dyDescent="0.2">
      <c r="B5" s="5"/>
      <c r="C5" s="209"/>
      <c r="D5" s="214"/>
      <c r="E5" s="214"/>
      <c r="F5" s="214"/>
      <c r="G5" s="214"/>
      <c r="H5" s="204">
        <f t="shared" ref="H5:H17" si="0">SUM(C5:G5)</f>
        <v>0</v>
      </c>
    </row>
    <row r="6" spans="2:8" x14ac:dyDescent="0.2">
      <c r="B6" s="5" t="s">
        <v>104</v>
      </c>
      <c r="C6" s="209">
        <f>-DATA!M182</f>
        <v>28446.1</v>
      </c>
      <c r="D6" s="214">
        <f>+'Prospetto di ricon PN ifrs'!D6</f>
        <v>2614</v>
      </c>
      <c r="E6" s="214"/>
      <c r="F6" s="214"/>
      <c r="G6" s="214"/>
      <c r="H6" s="204">
        <f t="shared" si="0"/>
        <v>31060.1</v>
      </c>
    </row>
    <row r="7" spans="2:8" x14ac:dyDescent="0.2">
      <c r="B7" s="5"/>
      <c r="C7" s="207"/>
      <c r="D7" s="215"/>
      <c r="E7" s="215"/>
      <c r="F7" s="215"/>
      <c r="G7" s="215"/>
      <c r="H7" s="204">
        <f t="shared" si="0"/>
        <v>0</v>
      </c>
    </row>
    <row r="8" spans="2:8" x14ac:dyDescent="0.2">
      <c r="B8" s="5" t="s">
        <v>105</v>
      </c>
      <c r="C8" s="207"/>
      <c r="D8" s="215"/>
      <c r="E8" s="216"/>
      <c r="F8" s="215"/>
      <c r="G8" s="215"/>
      <c r="H8" s="204">
        <f t="shared" si="0"/>
        <v>0</v>
      </c>
    </row>
    <row r="9" spans="2:8" x14ac:dyDescent="0.2">
      <c r="B9" s="32" t="s">
        <v>106</v>
      </c>
      <c r="C9" s="210">
        <f>-DATA!M318-DATA!M319-DATA!M320-DATA!M321-DATA!M322</f>
        <v>-932617.43660650135</v>
      </c>
      <c r="D9" s="215"/>
      <c r="E9" s="215"/>
      <c r="F9" s="215"/>
      <c r="G9" s="215"/>
      <c r="H9" s="204">
        <f t="shared" si="0"/>
        <v>-932617.43660650135</v>
      </c>
    </row>
    <row r="10" spans="2:8" x14ac:dyDescent="0.2">
      <c r="B10" s="32" t="s">
        <v>1165</v>
      </c>
      <c r="C10" s="207">
        <v>540472</v>
      </c>
      <c r="D10" s="215">
        <f>-D14-D6</f>
        <v>49682.989999984158</v>
      </c>
      <c r="E10" s="215"/>
      <c r="F10" s="215"/>
      <c r="G10" s="215"/>
      <c r="H10" s="204">
        <f t="shared" si="0"/>
        <v>590154.98999998416</v>
      </c>
    </row>
    <row r="11" spans="2:8" x14ac:dyDescent="0.2">
      <c r="B11" s="5"/>
      <c r="C11" s="215"/>
      <c r="D11" s="215"/>
      <c r="E11" s="215"/>
      <c r="F11" s="215"/>
      <c r="G11" s="215"/>
      <c r="H11" s="204">
        <f t="shared" si="0"/>
        <v>0</v>
      </c>
    </row>
    <row r="12" spans="2:8" x14ac:dyDescent="0.2">
      <c r="B12" s="5" t="s">
        <v>107</v>
      </c>
      <c r="C12" s="216"/>
      <c r="D12" s="216"/>
      <c r="E12" s="215"/>
      <c r="F12" s="215"/>
      <c r="G12" s="215"/>
      <c r="H12" s="204">
        <f t="shared" si="0"/>
        <v>0</v>
      </c>
    </row>
    <row r="13" spans="2:8" x14ac:dyDescent="0.2">
      <c r="B13" s="5"/>
      <c r="C13" s="215"/>
      <c r="D13" s="215"/>
      <c r="E13" s="215"/>
      <c r="F13" s="215"/>
      <c r="G13" s="215"/>
      <c r="H13" s="204">
        <f t="shared" si="0"/>
        <v>0</v>
      </c>
    </row>
    <row r="14" spans="2:8" x14ac:dyDescent="0.2">
      <c r="B14" s="5" t="s">
        <v>108</v>
      </c>
      <c r="C14" s="216">
        <f>+'Prospetto di ricon PN ifrs'!I4</f>
        <v>52296.989999984158</v>
      </c>
      <c r="D14" s="216">
        <f>-C14</f>
        <v>-52296.989999984158</v>
      </c>
      <c r="E14" s="216">
        <f>+'Prospetto di ricon PN ifrs'!I9</f>
        <v>-154429.22314491874</v>
      </c>
      <c r="F14" s="215">
        <f>+'Prospetto di ricon PN ifrs'!I10</f>
        <v>-46309.040540000016</v>
      </c>
      <c r="G14" s="215"/>
      <c r="H14" s="204">
        <f t="shared" si="0"/>
        <v>-200738.26368491875</v>
      </c>
    </row>
    <row r="15" spans="2:8" x14ac:dyDescent="0.2">
      <c r="B15" s="5" t="s">
        <v>109</v>
      </c>
      <c r="C15" s="216"/>
      <c r="D15" s="215"/>
      <c r="E15" s="215"/>
      <c r="F15" s="216"/>
      <c r="G15" s="216"/>
      <c r="H15" s="204">
        <f t="shared" si="0"/>
        <v>0</v>
      </c>
    </row>
    <row r="16" spans="2:8" ht="12" thickBot="1" x14ac:dyDescent="0.25">
      <c r="B16" s="5"/>
      <c r="C16" s="214"/>
      <c r="D16" s="214"/>
      <c r="E16" s="214"/>
      <c r="F16" s="214"/>
      <c r="G16" s="214"/>
      <c r="H16" s="204">
        <f t="shared" si="0"/>
        <v>0</v>
      </c>
    </row>
    <row r="17" spans="2:9" ht="12" thickBot="1" x14ac:dyDescent="0.25">
      <c r="B17" s="33" t="s">
        <v>110</v>
      </c>
      <c r="C17" s="217">
        <f>SUM(C4:C16)</f>
        <v>4988597.6533934828</v>
      </c>
      <c r="D17" s="217">
        <f>SUM(D4:D16)</f>
        <v>0</v>
      </c>
      <c r="E17" s="217">
        <f>SUM(E4:E16)</f>
        <v>-154429.22314491874</v>
      </c>
      <c r="F17" s="217">
        <f t="shared" ref="F17:G17" si="1">SUM(F4:F16)</f>
        <v>-46309.040540000016</v>
      </c>
      <c r="G17" s="217">
        <f t="shared" si="1"/>
        <v>0</v>
      </c>
      <c r="H17" s="218">
        <f t="shared" si="0"/>
        <v>4787859.3897085637</v>
      </c>
      <c r="I17" s="215">
        <f ca="1">+H17-'situazione patrimoniale finanzi'!E31</f>
        <v>5.0000005401670933E-2</v>
      </c>
    </row>
    <row r="19" spans="2:9" ht="12" thickBot="1" x14ac:dyDescent="0.25"/>
    <row r="20" spans="2:9" ht="23.25" thickBot="1" x14ac:dyDescent="0.25">
      <c r="B20" s="599" t="s">
        <v>98</v>
      </c>
      <c r="C20" s="29" t="s">
        <v>99</v>
      </c>
      <c r="D20" s="30" t="s">
        <v>111</v>
      </c>
      <c r="E20" s="30" t="s">
        <v>101</v>
      </c>
      <c r="F20" s="30" t="s">
        <v>112</v>
      </c>
      <c r="G20" s="30" t="s">
        <v>1311</v>
      </c>
      <c r="H20" s="29" t="s">
        <v>99</v>
      </c>
    </row>
    <row r="21" spans="2:9" ht="12" thickBot="1" x14ac:dyDescent="0.25">
      <c r="B21" s="600"/>
      <c r="C21" s="31">
        <v>42004</v>
      </c>
      <c r="D21" s="31">
        <v>42004</v>
      </c>
      <c r="E21" s="31">
        <v>42369</v>
      </c>
      <c r="F21" s="31">
        <v>42369</v>
      </c>
      <c r="G21" s="31">
        <v>42369</v>
      </c>
      <c r="H21" s="31">
        <v>42369</v>
      </c>
    </row>
    <row r="22" spans="2:9" x14ac:dyDescent="0.2">
      <c r="B22" s="5" t="s">
        <v>103</v>
      </c>
      <c r="C22" s="213">
        <f>+H4</f>
        <v>5300000</v>
      </c>
      <c r="D22" s="214"/>
      <c r="E22" s="214"/>
      <c r="F22" s="214"/>
      <c r="G22" s="214"/>
      <c r="H22" s="204">
        <f>SUM(C22:G22)</f>
        <v>5300000</v>
      </c>
    </row>
    <row r="23" spans="2:9" x14ac:dyDescent="0.2">
      <c r="B23" s="32"/>
      <c r="C23" s="209"/>
      <c r="D23" s="214"/>
      <c r="E23" s="214"/>
      <c r="F23" s="214"/>
      <c r="G23" s="214"/>
      <c r="H23" s="204">
        <f t="shared" ref="H23:H35" si="2">SUM(C23:G23)</f>
        <v>0</v>
      </c>
    </row>
    <row r="24" spans="2:9" x14ac:dyDescent="0.2">
      <c r="B24" s="5" t="s">
        <v>104</v>
      </c>
      <c r="C24" s="209">
        <f>+H6</f>
        <v>31060.1</v>
      </c>
      <c r="D24" s="214">
        <f>+'Prospetto di ricon PN ifrs'!D13</f>
        <v>4065</v>
      </c>
      <c r="E24" s="214"/>
      <c r="F24" s="214"/>
      <c r="G24" s="214"/>
      <c r="H24" s="204">
        <f t="shared" si="2"/>
        <v>35125.1</v>
      </c>
    </row>
    <row r="25" spans="2:9" x14ac:dyDescent="0.2">
      <c r="B25" s="5"/>
      <c r="C25" s="207"/>
      <c r="D25" s="215"/>
      <c r="E25" s="215"/>
      <c r="F25" s="215"/>
      <c r="G25" s="215"/>
      <c r="H25" s="204">
        <f t="shared" si="2"/>
        <v>0</v>
      </c>
    </row>
    <row r="26" spans="2:9" x14ac:dyDescent="0.2">
      <c r="B26" s="5" t="s">
        <v>105</v>
      </c>
      <c r="C26" s="207"/>
      <c r="D26" s="215"/>
      <c r="E26" s="216"/>
      <c r="F26" s="215"/>
      <c r="G26" s="215"/>
      <c r="H26" s="204">
        <f t="shared" si="2"/>
        <v>0</v>
      </c>
    </row>
    <row r="27" spans="2:9" x14ac:dyDescent="0.2">
      <c r="B27" s="32" t="s">
        <v>106</v>
      </c>
      <c r="C27" s="210">
        <f>+H9</f>
        <v>-932617.43660650135</v>
      </c>
      <c r="D27" s="215"/>
      <c r="E27" s="215"/>
      <c r="F27" s="215"/>
      <c r="G27" s="215">
        <f>+'Prospetto di ricon PN ifrs'!G14</f>
        <v>0</v>
      </c>
      <c r="H27" s="204">
        <f t="shared" si="2"/>
        <v>-932617.43660650135</v>
      </c>
    </row>
    <row r="28" spans="2:9" x14ac:dyDescent="0.2">
      <c r="B28" s="32" t="s">
        <v>1165</v>
      </c>
      <c r="C28" s="207">
        <f>+H10</f>
        <v>590154.98999998416</v>
      </c>
      <c r="D28" s="215">
        <f>-D32-D33-D24</f>
        <v>-158494.22314491874</v>
      </c>
      <c r="E28" s="215"/>
      <c r="F28" s="215"/>
      <c r="G28" s="215"/>
      <c r="H28" s="204">
        <f t="shared" si="2"/>
        <v>431660.76685506542</v>
      </c>
    </row>
    <row r="29" spans="2:9" x14ac:dyDescent="0.2">
      <c r="B29" s="5"/>
      <c r="C29" s="215"/>
      <c r="D29" s="215"/>
      <c r="E29" s="215"/>
      <c r="F29" s="215"/>
      <c r="G29" s="215"/>
      <c r="H29" s="204">
        <f t="shared" si="2"/>
        <v>0</v>
      </c>
    </row>
    <row r="30" spans="2:9" x14ac:dyDescent="0.2">
      <c r="B30" s="5" t="s">
        <v>113</v>
      </c>
      <c r="C30" s="216"/>
      <c r="D30" s="216"/>
      <c r="E30" s="215"/>
      <c r="F30" s="215"/>
      <c r="G30" s="215"/>
      <c r="H30" s="204">
        <f t="shared" si="2"/>
        <v>0</v>
      </c>
    </row>
    <row r="31" spans="2:9" x14ac:dyDescent="0.2">
      <c r="B31" s="5"/>
      <c r="C31" s="215"/>
      <c r="D31" s="215"/>
      <c r="E31" s="215"/>
      <c r="F31" s="215"/>
      <c r="G31" s="215"/>
      <c r="H31" s="204">
        <f t="shared" si="2"/>
        <v>0</v>
      </c>
    </row>
    <row r="32" spans="2:9" x14ac:dyDescent="0.2">
      <c r="B32" s="5" t="s">
        <v>114</v>
      </c>
      <c r="C32" s="216">
        <f>+H14</f>
        <v>-200738.26368491875</v>
      </c>
      <c r="D32" s="216">
        <f>-C32</f>
        <v>200738.26368491875</v>
      </c>
      <c r="E32" s="216">
        <f>+'Prospetto di ricon PN ifrs'!I16</f>
        <v>133185.59833904766</v>
      </c>
      <c r="F32" s="215">
        <f>+'Prospetto di ricon PN ifrs'!I17</f>
        <v>16912.506800000021</v>
      </c>
      <c r="G32" s="215"/>
      <c r="H32" s="204">
        <f t="shared" si="2"/>
        <v>150098.10513904769</v>
      </c>
    </row>
    <row r="33" spans="2:9" x14ac:dyDescent="0.2">
      <c r="B33" s="5" t="s">
        <v>109</v>
      </c>
      <c r="C33" s="216"/>
      <c r="D33" s="215">
        <f>+F14</f>
        <v>-46309.040540000016</v>
      </c>
      <c r="E33" s="215"/>
      <c r="F33" s="216"/>
      <c r="G33" s="216"/>
      <c r="H33" s="204">
        <f t="shared" si="2"/>
        <v>-46309.040540000016</v>
      </c>
    </row>
    <row r="34" spans="2:9" ht="12" thickBot="1" x14ac:dyDescent="0.25">
      <c r="B34" s="6"/>
      <c r="C34" s="214"/>
      <c r="D34" s="214"/>
      <c r="E34" s="214"/>
      <c r="F34" s="214"/>
      <c r="G34" s="214"/>
      <c r="H34" s="204">
        <f t="shared" si="2"/>
        <v>0</v>
      </c>
    </row>
    <row r="35" spans="2:9" ht="12" thickBot="1" x14ac:dyDescent="0.25">
      <c r="B35" s="33" t="s">
        <v>115</v>
      </c>
      <c r="C35" s="217">
        <f>SUM(C22:C34)</f>
        <v>4787859.3897085637</v>
      </c>
      <c r="D35" s="217">
        <f t="shared" ref="D35:G35" si="3">SUM(D22:D34)</f>
        <v>0</v>
      </c>
      <c r="E35" s="217">
        <f t="shared" si="3"/>
        <v>133185.59833904766</v>
      </c>
      <c r="F35" s="217">
        <f t="shared" si="3"/>
        <v>16912.506800000021</v>
      </c>
      <c r="G35" s="217">
        <f t="shared" si="3"/>
        <v>0</v>
      </c>
      <c r="H35" s="218">
        <f t="shared" si="2"/>
        <v>4937957.4948476106</v>
      </c>
      <c r="I35" s="215">
        <f>+H35-'situazione patrimoniale finanzi'!D31</f>
        <v>3.0414999993517995</v>
      </c>
    </row>
  </sheetData>
  <mergeCells count="2">
    <mergeCell ref="B2:B3"/>
    <mergeCell ref="B20:B21"/>
  </mergeCells>
  <pageMargins left="0.7" right="0.7" top="0.75" bottom="0.75" header="0.3" footer="0.3"/>
  <ignoredErrors>
    <ignoredError sqref="G1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J28"/>
  <sheetViews>
    <sheetView workbookViewId="0">
      <selection activeCell="C2" sqref="C2:E25"/>
    </sheetView>
  </sheetViews>
  <sheetFormatPr defaultColWidth="9.125" defaultRowHeight="11.25" x14ac:dyDescent="0.2"/>
  <cols>
    <col min="1" max="2" width="9.125" style="16"/>
    <col min="3" max="3" width="57.75" style="16" customWidth="1"/>
    <col min="4" max="5" width="16.875" style="16" customWidth="1"/>
    <col min="6" max="9" width="9.125" style="16"/>
    <col min="10" max="12" width="18.875" style="16" customWidth="1"/>
    <col min="13" max="16384" width="9.125" style="16"/>
  </cols>
  <sheetData>
    <row r="1" spans="3:10" ht="12" thickBot="1" x14ac:dyDescent="0.25"/>
    <row r="2" spans="3:10" ht="15.75" thickBot="1" x14ac:dyDescent="0.25">
      <c r="C2" s="493" t="s">
        <v>1459</v>
      </c>
      <c r="D2" s="494"/>
      <c r="E2" s="495"/>
      <c r="F2" s="429"/>
    </row>
    <row r="3" spans="3:10" x14ac:dyDescent="0.2">
      <c r="C3" s="590" t="s">
        <v>35</v>
      </c>
      <c r="D3" s="601">
        <v>42369</v>
      </c>
      <c r="E3" s="601">
        <v>42004</v>
      </c>
      <c r="F3" s="429"/>
      <c r="J3" s="430"/>
    </row>
    <row r="4" spans="3:10" ht="12" thickBot="1" x14ac:dyDescent="0.25">
      <c r="C4" s="591"/>
      <c r="D4" s="602"/>
      <c r="E4" s="602"/>
      <c r="F4" s="429"/>
      <c r="J4" s="430"/>
    </row>
    <row r="5" spans="3:10" ht="15" x14ac:dyDescent="0.2">
      <c r="C5" s="496" t="s">
        <v>36</v>
      </c>
      <c r="D5" s="497">
        <f>+'CE per natura'!E10</f>
        <v>27582854.191146314</v>
      </c>
      <c r="E5" s="498">
        <f>+'CE per natura'!F10</f>
        <v>27267725.539241746</v>
      </c>
      <c r="F5" s="429"/>
      <c r="J5" s="430"/>
    </row>
    <row r="6" spans="3:10" ht="15" x14ac:dyDescent="0.2">
      <c r="C6" s="496" t="s">
        <v>37</v>
      </c>
      <c r="D6" s="497">
        <f>-'CE per natura'!E12-'CE per natura'!E13-'CE per natura'!E17</f>
        <v>-22871530.279999997</v>
      </c>
      <c r="E6" s="498">
        <f>-'CE per natura'!F12-'CE per natura'!F13-'CE per natura'!F17</f>
        <v>-22910951.549999997</v>
      </c>
      <c r="F6" s="429"/>
      <c r="J6" s="430"/>
    </row>
    <row r="7" spans="3:10" ht="15.75" thickBot="1" x14ac:dyDescent="0.25">
      <c r="C7" s="496" t="s">
        <v>38</v>
      </c>
      <c r="D7" s="497">
        <f>-'CE per natura'!E14</f>
        <v>-2986922.7399999998</v>
      </c>
      <c r="E7" s="498">
        <f>-'CE per natura'!F14</f>
        <v>-2791741.7800000003</v>
      </c>
      <c r="F7" s="429"/>
      <c r="J7" s="430"/>
    </row>
    <row r="8" spans="3:10" ht="16.5" thickBot="1" x14ac:dyDescent="0.25">
      <c r="C8" s="499" t="s">
        <v>39</v>
      </c>
      <c r="D8" s="500">
        <f>SUM(D5:D7)</f>
        <v>1724401.1711463169</v>
      </c>
      <c r="E8" s="501">
        <f>SUM(E5:E7)</f>
        <v>1565032.2092417488</v>
      </c>
      <c r="F8" s="429"/>
      <c r="J8" s="430"/>
    </row>
    <row r="9" spans="3:10" ht="15.75" thickBot="1" x14ac:dyDescent="0.25">
      <c r="C9" s="502" t="s">
        <v>40</v>
      </c>
      <c r="D9" s="503">
        <f>D8/D5</f>
        <v>6.2517140510419844E-2</v>
      </c>
      <c r="E9" s="504">
        <f>E8/E5</f>
        <v>5.7395040411033445E-2</v>
      </c>
      <c r="F9" s="429"/>
      <c r="G9" s="431"/>
      <c r="J9" s="430"/>
    </row>
    <row r="10" spans="3:10" ht="15.75" thickBot="1" x14ac:dyDescent="0.25">
      <c r="C10" s="496" t="s">
        <v>41</v>
      </c>
      <c r="D10" s="497">
        <f>-'CE per natura'!E21</f>
        <v>-949890.90772488376</v>
      </c>
      <c r="E10" s="498">
        <f>-'CE per natura'!F21</f>
        <v>-811753.32075037388</v>
      </c>
      <c r="F10" s="429"/>
      <c r="J10" s="430"/>
    </row>
    <row r="11" spans="3:10" ht="16.5" thickBot="1" x14ac:dyDescent="0.25">
      <c r="C11" s="499" t="s">
        <v>42</v>
      </c>
      <c r="D11" s="500">
        <f>D8+D10</f>
        <v>774510.26342143316</v>
      </c>
      <c r="E11" s="501">
        <f>E8+E10</f>
        <v>753278.88849137491</v>
      </c>
      <c r="F11" s="429"/>
      <c r="J11" s="430"/>
    </row>
    <row r="12" spans="3:10" ht="15.75" thickBot="1" x14ac:dyDescent="0.25">
      <c r="C12" s="502" t="s">
        <v>40</v>
      </c>
      <c r="D12" s="503">
        <f>D11/D5</f>
        <v>2.8079409696116199E-2</v>
      </c>
      <c r="E12" s="504">
        <f>E11/E5</f>
        <v>2.7625292304167805E-2</v>
      </c>
      <c r="F12" s="429"/>
      <c r="J12" s="430"/>
    </row>
    <row r="13" spans="3:10" ht="16.5" thickBot="1" x14ac:dyDescent="0.25">
      <c r="C13" s="505" t="s">
        <v>43</v>
      </c>
      <c r="D13" s="506">
        <f>+'CE per natura'!E29</f>
        <v>150098.10513904769</v>
      </c>
      <c r="E13" s="507">
        <f>+'CE per natura'!F29</f>
        <v>-200738.26368491875</v>
      </c>
      <c r="F13" s="429"/>
      <c r="G13" s="20"/>
      <c r="J13" s="430"/>
    </row>
    <row r="14" spans="3:10" ht="15.75" thickBot="1" x14ac:dyDescent="0.25">
      <c r="C14" s="508" t="s">
        <v>40</v>
      </c>
      <c r="D14" s="509">
        <f>D13/D5</f>
        <v>5.4417176735548616E-3</v>
      </c>
      <c r="E14" s="510">
        <f>E13/E5</f>
        <v>-7.3617531244412268E-3</v>
      </c>
      <c r="F14" s="429"/>
      <c r="G14" s="431"/>
      <c r="J14" s="430"/>
    </row>
    <row r="15" spans="3:10" ht="15.75" thickBot="1" x14ac:dyDescent="0.25">
      <c r="C15" s="511" t="s">
        <v>44</v>
      </c>
      <c r="D15" s="512"/>
      <c r="E15" s="513"/>
      <c r="F15" s="429"/>
      <c r="J15" s="430"/>
    </row>
    <row r="16" spans="3:10" ht="15" x14ac:dyDescent="0.2">
      <c r="C16" s="514" t="s">
        <v>45</v>
      </c>
      <c r="D16" s="515">
        <f>+'struttura patr riclassificata'!C5+'struttura patr riclassificata'!C6+'struttura patr riclassificata'!C7+'struttura patr riclassificata'!C12+'struttura patr riclassificata'!C13+'struttura patr riclassificata'!C14+'struttura patr riclassificata'!C15</f>
        <v>13024248.322909152</v>
      </c>
      <c r="E16" s="516">
        <f ca="1">+'struttura patr riclassificata'!D5+'struttura patr riclassificata'!D6+'struttura patr riclassificata'!D7+'struttura patr riclassificata'!D12+'struttura patr riclassificata'!D13+'struttura patr riclassificata'!D14+'struttura patr riclassificata'!D15</f>
        <v>13703037.104487728</v>
      </c>
      <c r="F16" s="429"/>
      <c r="G16" s="20"/>
      <c r="J16" s="430"/>
    </row>
    <row r="17" spans="3:10" ht="15" x14ac:dyDescent="0.2">
      <c r="C17" s="496" t="s">
        <v>46</v>
      </c>
      <c r="D17" s="497">
        <f>+'struttura patr riclassificata'!C20</f>
        <v>4937954.4533476112</v>
      </c>
      <c r="E17" s="498">
        <f ca="1">+'struttura patr riclassificata'!D20</f>
        <v>4787859.3397085583</v>
      </c>
      <c r="F17" s="429"/>
      <c r="J17" s="430"/>
    </row>
    <row r="18" spans="3:10" ht="15.75" thickBot="1" x14ac:dyDescent="0.25">
      <c r="C18" s="517" t="s">
        <v>3</v>
      </c>
      <c r="D18" s="518">
        <f>+PFN!D29</f>
        <v>-14116288.160000004</v>
      </c>
      <c r="E18" s="519">
        <f>+PFN!E29</f>
        <v>-12607440.030000001</v>
      </c>
      <c r="F18" s="429"/>
      <c r="J18" s="430"/>
    </row>
    <row r="19" spans="3:10" ht="15.75" thickBot="1" x14ac:dyDescent="0.25">
      <c r="C19" s="511" t="s">
        <v>47</v>
      </c>
      <c r="D19" s="512"/>
      <c r="E19" s="513"/>
      <c r="F19" s="429"/>
      <c r="J19" s="430"/>
    </row>
    <row r="20" spans="3:10" ht="15" x14ac:dyDescent="0.2">
      <c r="C20" s="520" t="s">
        <v>1456</v>
      </c>
      <c r="D20" s="521">
        <f>+D11/D5</f>
        <v>2.8079409696116199E-2</v>
      </c>
      <c r="E20" s="522">
        <f>+E11/E5</f>
        <v>2.7625292304167805E-2</v>
      </c>
      <c r="F20" s="429"/>
      <c r="J20" s="430"/>
    </row>
    <row r="21" spans="3:10" ht="15" x14ac:dyDescent="0.2">
      <c r="C21" s="523" t="s">
        <v>1327</v>
      </c>
      <c r="D21" s="524">
        <f>+D5/D16</f>
        <v>2.117807761898177</v>
      </c>
      <c r="E21" s="525">
        <f ca="1">+E5/E16</f>
        <v>1.9899037951456469</v>
      </c>
      <c r="F21" s="429"/>
      <c r="J21" s="430"/>
    </row>
    <row r="22" spans="3:10" ht="15" x14ac:dyDescent="0.2">
      <c r="C22" s="523" t="s">
        <v>1457</v>
      </c>
      <c r="D22" s="524">
        <f>+D11/D16</f>
        <v>5.9466791803953811E-2</v>
      </c>
      <c r="E22" s="525">
        <f ca="1">+E11/E16</f>
        <v>5.4971673998071346E-2</v>
      </c>
      <c r="F22" s="429"/>
      <c r="J22" s="430"/>
    </row>
    <row r="23" spans="3:10" ht="15" x14ac:dyDescent="0.2">
      <c r="C23" s="523" t="s">
        <v>1458</v>
      </c>
      <c r="D23" s="524">
        <f>+D13/D17</f>
        <v>3.0396818471521331E-2</v>
      </c>
      <c r="E23" s="525">
        <f ca="1">+E13/E17</f>
        <v>-4.1926516516489369E-2</v>
      </c>
      <c r="F23" s="429"/>
      <c r="J23" s="430"/>
    </row>
    <row r="24" spans="3:10" ht="15" x14ac:dyDescent="0.2">
      <c r="C24" s="523" t="s">
        <v>48</v>
      </c>
      <c r="D24" s="526">
        <f>-D18/D17</f>
        <v>2.8587319493054619</v>
      </c>
      <c r="E24" s="527">
        <f ca="1">-E18/E17</f>
        <v>2.6332101959301562</v>
      </c>
      <c r="F24" s="429"/>
      <c r="J24" s="430"/>
    </row>
    <row r="25" spans="3:10" ht="15.75" thickBot="1" x14ac:dyDescent="0.25">
      <c r="C25" s="528" t="s">
        <v>49</v>
      </c>
      <c r="D25" s="529">
        <f>-D18/D8</f>
        <v>8.1861972702187558</v>
      </c>
      <c r="E25" s="530">
        <f>-E18/E8</f>
        <v>8.0557064292678362</v>
      </c>
      <c r="F25" s="429"/>
      <c r="J25" s="430"/>
    </row>
    <row r="26" spans="3:10" x14ac:dyDescent="0.2">
      <c r="J26" s="430"/>
    </row>
    <row r="27" spans="3:10" x14ac:dyDescent="0.2">
      <c r="J27" s="430"/>
    </row>
    <row r="28" spans="3:10" x14ac:dyDescent="0.2">
      <c r="J28" s="432"/>
    </row>
  </sheetData>
  <mergeCells count="3">
    <mergeCell ref="C3:C4"/>
    <mergeCell ref="D3:D4"/>
    <mergeCell ref="E3:E4"/>
  </mergeCells>
  <pageMargins left="0.31496062992125984" right="0.31496062992125984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workbookViewId="0">
      <selection activeCell="C33" sqref="C33"/>
    </sheetView>
  </sheetViews>
  <sheetFormatPr defaultColWidth="9.125" defaultRowHeight="11.25" x14ac:dyDescent="0.2"/>
  <cols>
    <col min="1" max="1" width="9.125" style="16"/>
    <col min="2" max="2" width="2.125" style="16" bestFit="1" customWidth="1"/>
    <col min="3" max="3" width="56" style="16" customWidth="1"/>
    <col min="4" max="5" width="17.125" style="16" customWidth="1"/>
    <col min="6" max="16384" width="9.125" style="16"/>
  </cols>
  <sheetData>
    <row r="1" spans="1:9" x14ac:dyDescent="0.2">
      <c r="B1" s="15"/>
      <c r="C1" s="15"/>
      <c r="D1" s="15"/>
    </row>
    <row r="2" spans="1:9" ht="12" thickBot="1" x14ac:dyDescent="0.25"/>
    <row r="3" spans="1:9" ht="12" customHeight="1" thickBot="1" x14ac:dyDescent="0.25">
      <c r="B3" s="603" t="s">
        <v>34</v>
      </c>
      <c r="C3" s="604"/>
      <c r="D3" s="437">
        <v>42369</v>
      </c>
      <c r="E3" s="438">
        <v>42004</v>
      </c>
    </row>
    <row r="4" spans="1:9" x14ac:dyDescent="0.2">
      <c r="A4" s="16" t="s">
        <v>886</v>
      </c>
      <c r="B4" s="233" t="s">
        <v>4</v>
      </c>
      <c r="C4" s="234" t="s">
        <v>5</v>
      </c>
      <c r="D4" s="235">
        <f>SUMIF(DATA!R:R,A4,DATA!O:O)</f>
        <v>35628.61</v>
      </c>
      <c r="E4" s="236">
        <f>SUMIF(DATA!R:R,A4,DATA!N:N)</f>
        <v>23275.88</v>
      </c>
    </row>
    <row r="5" spans="1:9" x14ac:dyDescent="0.2">
      <c r="A5" s="16" t="s">
        <v>885</v>
      </c>
      <c r="B5" s="237" t="s">
        <v>6</v>
      </c>
      <c r="C5" s="238" t="s">
        <v>7</v>
      </c>
      <c r="D5" s="239">
        <f>SUMIF(DATA!R:R,A5,DATA!O:O)</f>
        <v>256150.59</v>
      </c>
      <c r="E5" s="240">
        <f>SUMIF(DATA!R:R,A5,DATA!N:N)</f>
        <v>1245975.55</v>
      </c>
    </row>
    <row r="6" spans="1:9" ht="12" thickBot="1" x14ac:dyDescent="0.25">
      <c r="A6" s="16" t="s">
        <v>917</v>
      </c>
      <c r="B6" s="237" t="s">
        <v>8</v>
      </c>
      <c r="C6" s="238" t="s">
        <v>9</v>
      </c>
      <c r="D6" s="239">
        <f>SUMIF(DATA!R:R,A6,DATA!O:O)</f>
        <v>920628.13</v>
      </c>
      <c r="E6" s="240">
        <f>SUMIF(DATA!R:R,A6,DATA!N:N)</f>
        <v>1345245.23</v>
      </c>
    </row>
    <row r="7" spans="1:9" ht="12" thickBot="1" x14ac:dyDescent="0.25">
      <c r="B7" s="241" t="s">
        <v>10</v>
      </c>
      <c r="C7" s="242" t="s">
        <v>11</v>
      </c>
      <c r="D7" s="243">
        <f>SUM(D4:D6)</f>
        <v>1212407.33</v>
      </c>
      <c r="E7" s="244">
        <f>SUM(E4:E6)</f>
        <v>2614496.66</v>
      </c>
    </row>
    <row r="8" spans="1:9" x14ac:dyDescent="0.2">
      <c r="A8" s="16" t="s">
        <v>919</v>
      </c>
      <c r="B8" s="233" t="s">
        <v>12</v>
      </c>
      <c r="C8" s="234" t="s">
        <v>13</v>
      </c>
      <c r="D8" s="239">
        <f>SUMIF(DATA!R:R,A8,DATA!O:O)</f>
        <v>532881.71</v>
      </c>
      <c r="E8" s="240">
        <f>SUMIF(DATA!R:R,A8,DATA!N:N)</f>
        <v>132196.96</v>
      </c>
    </row>
    <row r="9" spans="1:9" x14ac:dyDescent="0.2">
      <c r="A9" s="16" t="s">
        <v>900</v>
      </c>
      <c r="B9" s="237" t="s">
        <v>14</v>
      </c>
      <c r="C9" s="238" t="s">
        <v>15</v>
      </c>
      <c r="D9" s="239">
        <f>SUMIF(DATA!R:R,A9,DATA!O:O)</f>
        <v>-9944630.9100000039</v>
      </c>
      <c r="E9" s="240">
        <f>SUMIF(DATA!R:R,A9,DATA!N:N)</f>
        <v>-8741797.4600000009</v>
      </c>
    </row>
    <row r="10" spans="1:9" x14ac:dyDescent="0.2">
      <c r="B10" s="237" t="s">
        <v>16</v>
      </c>
      <c r="C10" s="238" t="s">
        <v>17</v>
      </c>
      <c r="D10" s="239">
        <f>SUMIF(DATA!R:R,A10,DATA!O:O)</f>
        <v>0</v>
      </c>
      <c r="E10" s="240">
        <f>SUMIF(DATA!R:R,A10,DATA!N:N)</f>
        <v>0</v>
      </c>
    </row>
    <row r="11" spans="1:9" ht="12" thickBot="1" x14ac:dyDescent="0.25">
      <c r="A11" s="16" t="s">
        <v>901</v>
      </c>
      <c r="B11" s="245" t="s">
        <v>18</v>
      </c>
      <c r="C11" s="246" t="s">
        <v>19</v>
      </c>
      <c r="D11" s="239">
        <f>SUMIF(DATA!R:R,A11,DATA!O:O)</f>
        <v>-44375.145000000004</v>
      </c>
      <c r="E11" s="240">
        <f>SUMIF(DATA!R:R,A11,DATA!N:N)</f>
        <v>-6145.92</v>
      </c>
    </row>
    <row r="12" spans="1:9" ht="12" thickBot="1" x14ac:dyDescent="0.25">
      <c r="B12" s="247" t="s">
        <v>20</v>
      </c>
      <c r="C12" s="242" t="s">
        <v>21</v>
      </c>
      <c r="D12" s="243">
        <f>SUM(D8:D11)</f>
        <v>-9456124.3450000025</v>
      </c>
      <c r="E12" s="244">
        <f>SUM(E8:E11)</f>
        <v>-8615746.4199999999</v>
      </c>
    </row>
    <row r="13" spans="1:9" ht="12" thickBot="1" x14ac:dyDescent="0.25">
      <c r="B13" s="247" t="s">
        <v>22</v>
      </c>
      <c r="C13" s="242" t="s">
        <v>23</v>
      </c>
      <c r="D13" s="243">
        <f>D7+D12</f>
        <v>-8243717.0150000025</v>
      </c>
      <c r="E13" s="244">
        <f>E7+E12</f>
        <v>-6001249.7599999998</v>
      </c>
    </row>
    <row r="14" spans="1:9" x14ac:dyDescent="0.2">
      <c r="A14" s="16" t="s">
        <v>896</v>
      </c>
      <c r="B14" s="237" t="s">
        <v>24</v>
      </c>
      <c r="C14" s="238" t="s">
        <v>25</v>
      </c>
      <c r="D14" s="239">
        <f>SUMIF(DATA!R:R,A14,DATA!O:O)</f>
        <v>-4463436.45</v>
      </c>
      <c r="E14" s="240">
        <f>SUMIF(DATA!R:R,A14,DATA!N:N)</f>
        <v>-5134893.9999999991</v>
      </c>
      <c r="G14" s="20">
        <v>5323967</v>
      </c>
      <c r="I14" s="20">
        <f>+G14+E14</f>
        <v>189073.00000000093</v>
      </c>
    </row>
    <row r="15" spans="1:9" x14ac:dyDescent="0.2">
      <c r="B15" s="237" t="s">
        <v>26</v>
      </c>
      <c r="C15" s="238" t="s">
        <v>27</v>
      </c>
      <c r="D15" s="239">
        <f>SUMIF(DATA!R:R,A15,DATA!O:O)</f>
        <v>0</v>
      </c>
      <c r="E15" s="240">
        <f>SUMIF(DATA!R:R,A15,DATA!N:N)</f>
        <v>0</v>
      </c>
    </row>
    <row r="16" spans="1:9" ht="12" thickBot="1" x14ac:dyDescent="0.25">
      <c r="A16" s="16" t="s">
        <v>897</v>
      </c>
      <c r="B16" s="237" t="s">
        <v>28</v>
      </c>
      <c r="C16" s="238" t="s">
        <v>29</v>
      </c>
      <c r="D16" s="239">
        <f>SUMIF(DATA!R:R,A16,DATA!O:O)</f>
        <v>-96633.889999999985</v>
      </c>
      <c r="E16" s="240">
        <f>SUMIF(DATA!R:R,A16,DATA!N:N)</f>
        <v>-11728.01</v>
      </c>
    </row>
    <row r="17" spans="2:5" ht="12" thickBot="1" x14ac:dyDescent="0.25">
      <c r="B17" s="247" t="s">
        <v>30</v>
      </c>
      <c r="C17" s="242" t="s">
        <v>31</v>
      </c>
      <c r="D17" s="243">
        <f>SUM(D14:D16)</f>
        <v>-4560070.34</v>
      </c>
      <c r="E17" s="244">
        <f>SUM(E14:E16)</f>
        <v>-5146622.0099999988</v>
      </c>
    </row>
    <row r="18" spans="2:5" ht="12" thickBot="1" x14ac:dyDescent="0.25">
      <c r="B18" s="248" t="s">
        <v>32</v>
      </c>
      <c r="C18" s="249" t="s">
        <v>33</v>
      </c>
      <c r="D18" s="250">
        <f>D13+D17</f>
        <v>-12803787.355000002</v>
      </c>
      <c r="E18" s="251">
        <f>E13+E17</f>
        <v>-11147871.77</v>
      </c>
    </row>
    <row r="21" spans="2:5" ht="15" thickBot="1" x14ac:dyDescent="0.25">
      <c r="B21" s="297"/>
      <c r="C21" s="297" t="s">
        <v>1319</v>
      </c>
      <c r="D21" s="298"/>
      <c r="E21" s="299"/>
    </row>
    <row r="22" spans="2:5" ht="12" thickBot="1" x14ac:dyDescent="0.25">
      <c r="B22" s="300"/>
      <c r="C22" s="300" t="s">
        <v>1320</v>
      </c>
      <c r="D22" s="439">
        <v>42369</v>
      </c>
      <c r="E22" s="439">
        <v>42004</v>
      </c>
    </row>
    <row r="23" spans="2:5" x14ac:dyDescent="0.2">
      <c r="B23" s="301"/>
      <c r="C23" s="301" t="s">
        <v>1234</v>
      </c>
      <c r="D23" s="302">
        <f>+D4+D5</f>
        <v>291779.20000000001</v>
      </c>
      <c r="E23" s="302">
        <f>+E4+E5</f>
        <v>1269251.43</v>
      </c>
    </row>
    <row r="24" spans="2:5" ht="12" thickBot="1" x14ac:dyDescent="0.25">
      <c r="B24" s="301"/>
      <c r="C24" s="301" t="s">
        <v>1</v>
      </c>
      <c r="D24" s="302">
        <f>+D9</f>
        <v>-9944630.9100000039</v>
      </c>
      <c r="E24" s="302">
        <f>+E9</f>
        <v>-8741797.4600000009</v>
      </c>
    </row>
    <row r="25" spans="2:5" ht="12" thickBot="1" x14ac:dyDescent="0.25">
      <c r="B25" s="303"/>
      <c r="C25" s="303" t="s">
        <v>1326</v>
      </c>
      <c r="D25" s="304">
        <f>SUM(D23:D24)</f>
        <v>-9652851.7100000046</v>
      </c>
      <c r="E25" s="304">
        <f>SUM(E23:E24)</f>
        <v>-7472546.0300000012</v>
      </c>
    </row>
    <row r="26" spans="2:5" ht="12" thickBot="1" x14ac:dyDescent="0.25">
      <c r="B26" s="301"/>
      <c r="C26" s="301" t="s">
        <v>2</v>
      </c>
      <c r="D26" s="302">
        <f>+D14</f>
        <v>-4463436.45</v>
      </c>
      <c r="E26" s="302">
        <f>+E14</f>
        <v>-5134893.9999999991</v>
      </c>
    </row>
    <row r="27" spans="2:5" ht="12" thickBot="1" x14ac:dyDescent="0.25">
      <c r="B27" s="303"/>
      <c r="C27" s="303" t="s">
        <v>1325</v>
      </c>
      <c r="D27" s="304">
        <f>+D26</f>
        <v>-4463436.45</v>
      </c>
      <c r="E27" s="304">
        <f>+E26</f>
        <v>-5134893.9999999991</v>
      </c>
    </row>
    <row r="28" spans="2:5" ht="15" thickBot="1" x14ac:dyDescent="0.25">
      <c r="B28" s="305"/>
      <c r="C28" s="305"/>
      <c r="D28" s="306"/>
      <c r="E28" s="306"/>
    </row>
    <row r="29" spans="2:5" ht="12" thickBot="1" x14ac:dyDescent="0.25">
      <c r="B29" s="303"/>
      <c r="C29" s="303" t="s">
        <v>3</v>
      </c>
      <c r="D29" s="304">
        <f>+D27+D25</f>
        <v>-14116288.160000004</v>
      </c>
      <c r="E29" s="304">
        <f>+E27+E25</f>
        <v>-12607440.030000001</v>
      </c>
    </row>
    <row r="30" spans="2:5" x14ac:dyDescent="0.2">
      <c r="B30" s="301"/>
      <c r="C30" s="301" t="s">
        <v>1322</v>
      </c>
      <c r="D30" s="307">
        <f>+D8</f>
        <v>532881.71</v>
      </c>
      <c r="E30" s="307">
        <f>+E8</f>
        <v>132196.96</v>
      </c>
    </row>
    <row r="31" spans="2:5" x14ac:dyDescent="0.2">
      <c r="B31" s="301"/>
      <c r="C31" s="301" t="s">
        <v>9</v>
      </c>
      <c r="D31" s="307">
        <f>+D6</f>
        <v>920628.13</v>
      </c>
      <c r="E31" s="307">
        <f>+E6</f>
        <v>1345245.23</v>
      </c>
    </row>
    <row r="32" spans="2:5" x14ac:dyDescent="0.2">
      <c r="B32" s="301"/>
      <c r="C32" s="301" t="s">
        <v>1321</v>
      </c>
      <c r="D32" s="307"/>
      <c r="E32" s="307"/>
    </row>
    <row r="33" spans="2:5" ht="12" thickBot="1" x14ac:dyDescent="0.25">
      <c r="B33" s="301"/>
      <c r="C33" s="301" t="s">
        <v>1323</v>
      </c>
      <c r="D33" s="307">
        <f>+D16+D11</f>
        <v>-141009.03499999997</v>
      </c>
      <c r="E33" s="307">
        <f>+E16+E11</f>
        <v>-17873.93</v>
      </c>
    </row>
    <row r="34" spans="2:5" ht="12" thickBot="1" x14ac:dyDescent="0.25">
      <c r="B34" s="303"/>
      <c r="C34" s="303" t="s">
        <v>0</v>
      </c>
      <c r="D34" s="304">
        <f>SUM(D29:D33)</f>
        <v>-12803787.355000002</v>
      </c>
      <c r="E34" s="304">
        <f>SUM(E29:E33)</f>
        <v>-11147871.77</v>
      </c>
    </row>
  </sheetData>
  <mergeCells count="1">
    <mergeCell ref="B3:C3"/>
  </mergeCells>
  <pageMargins left="0.7" right="0.7" top="0.75" bottom="0.75" header="0.3" footer="0.3"/>
  <pageSetup paperSize="9" orientation="portrait" r:id="rId1"/>
  <ignoredErrors>
    <ignoredError sqref="D7:E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7"/>
  <sheetViews>
    <sheetView workbookViewId="0">
      <selection activeCell="E12" sqref="E12"/>
    </sheetView>
  </sheetViews>
  <sheetFormatPr defaultColWidth="9.125" defaultRowHeight="11.25" x14ac:dyDescent="0.2"/>
  <cols>
    <col min="1" max="1" width="9.125" style="16"/>
    <col min="2" max="2" width="50.125" style="16" customWidth="1"/>
    <col min="3" max="5" width="14.125" style="16" customWidth="1"/>
    <col min="6" max="16384" width="9.125" style="16"/>
  </cols>
  <sheetData>
    <row r="2" spans="1:5" ht="12" thickBot="1" x14ac:dyDescent="0.25"/>
    <row r="3" spans="1:5" ht="12" thickBot="1" x14ac:dyDescent="0.25">
      <c r="B3" s="14" t="s">
        <v>1395</v>
      </c>
      <c r="C3" s="436">
        <v>42369</v>
      </c>
      <c r="D3" s="436">
        <v>42004</v>
      </c>
      <c r="E3" s="17" t="s">
        <v>116</v>
      </c>
    </row>
    <row r="4" spans="1:5" x14ac:dyDescent="0.2">
      <c r="A4" s="16" t="s">
        <v>864</v>
      </c>
      <c r="B4" s="1" t="s">
        <v>863</v>
      </c>
      <c r="C4" s="259">
        <f>SUMIF(DATA!R:R,A4,DATA!O:O)</f>
        <v>0</v>
      </c>
      <c r="D4" s="259">
        <f>SUMIF(DATA!R:R,A4,DATA!N:N)</f>
        <v>0</v>
      </c>
      <c r="E4" s="260">
        <f>C4-D4</f>
        <v>0</v>
      </c>
    </row>
    <row r="5" spans="1:5" x14ac:dyDescent="0.2">
      <c r="A5" s="16" t="s">
        <v>865</v>
      </c>
      <c r="B5" s="1" t="s">
        <v>197</v>
      </c>
      <c r="C5" s="259">
        <f>SUMIF(DATA!R:R,A5,DATA!O:O)</f>
        <v>2614</v>
      </c>
      <c r="D5" s="259">
        <f>SUMIF(DATA!R:R,A5,DATA!N:N)</f>
        <v>10948</v>
      </c>
      <c r="E5" s="260">
        <f t="shared" ref="E5:E6" si="0">C5-D5</f>
        <v>-8334</v>
      </c>
    </row>
    <row r="6" spans="1:5" ht="12" thickBot="1" x14ac:dyDescent="0.25">
      <c r="A6" s="16" t="s">
        <v>866</v>
      </c>
      <c r="B6" s="1" t="s">
        <v>118</v>
      </c>
      <c r="C6" s="259">
        <f>SUMIF(DATA!R:R,A6,DATA!O:O)</f>
        <v>5190</v>
      </c>
      <c r="D6" s="259">
        <f>SUMIF(DATA!R:R,A6,DATA!N:N)</f>
        <v>7785</v>
      </c>
      <c r="E6" s="260">
        <f t="shared" si="0"/>
        <v>-2595</v>
      </c>
    </row>
    <row r="7" spans="1:5" ht="12" thickBot="1" x14ac:dyDescent="0.25">
      <c r="B7" s="11" t="s">
        <v>117</v>
      </c>
      <c r="C7" s="226">
        <f>SUM(C4:C6)</f>
        <v>7804</v>
      </c>
      <c r="D7" s="226">
        <f>SUM(D4:D6)</f>
        <v>18733</v>
      </c>
      <c r="E7" s="227">
        <f>SUM(E4:E6)</f>
        <v>-10929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43"/>
  <sheetViews>
    <sheetView workbookViewId="0">
      <selection activeCell="H1" sqref="H1:M1048576"/>
    </sheetView>
  </sheetViews>
  <sheetFormatPr defaultColWidth="9.125" defaultRowHeight="11.25" outlineLevelRow="1" x14ac:dyDescent="0.2"/>
  <cols>
    <col min="1" max="2" width="9.125" style="16"/>
    <col min="3" max="3" width="50.25" style="16" customWidth="1"/>
    <col min="4" max="6" width="14.125" style="16" customWidth="1"/>
    <col min="7" max="7" width="26.125" style="16" customWidth="1"/>
    <col min="8" max="13" width="11" style="16" customWidth="1"/>
    <col min="14" max="18" width="9.125" style="16"/>
    <col min="19" max="19" width="12" style="361" bestFit="1" customWidth="1"/>
    <col min="20" max="16384" width="9.125" style="16"/>
  </cols>
  <sheetData>
    <row r="2" spans="2:13" ht="12" thickBot="1" x14ac:dyDescent="0.25"/>
    <row r="3" spans="2:13" ht="12" thickBot="1" x14ac:dyDescent="0.25">
      <c r="C3" s="14" t="s">
        <v>1395</v>
      </c>
      <c r="D3" s="436">
        <v>42369</v>
      </c>
      <c r="E3" s="436">
        <v>42004</v>
      </c>
      <c r="F3" s="17" t="s">
        <v>116</v>
      </c>
    </row>
    <row r="4" spans="2:13" x14ac:dyDescent="0.2">
      <c r="B4" s="16" t="s">
        <v>1328</v>
      </c>
      <c r="C4" s="1" t="s">
        <v>120</v>
      </c>
      <c r="D4" s="10">
        <f>SUMIF(DATA!R:R,B4,DATA!O:O)</f>
        <v>14223513.385491358</v>
      </c>
      <c r="E4" s="18">
        <f>SUMIF(DATA!R:R,B4,DATA!N:N)</f>
        <v>12348176.146232929</v>
      </c>
      <c r="F4" s="260">
        <f>D4-E4</f>
        <v>1875337.239258429</v>
      </c>
    </row>
    <row r="5" spans="2:13" x14ac:dyDescent="0.2">
      <c r="B5" s="16" t="s">
        <v>1329</v>
      </c>
      <c r="C5" s="1" t="s">
        <v>121</v>
      </c>
      <c r="D5" s="10">
        <f>SUMIF(DATA!R:R,B5,DATA!O:O)</f>
        <v>2298345.8000000003</v>
      </c>
      <c r="E5" s="18">
        <f>SUMIF(DATA!R:R,B5,DATA!N:N)</f>
        <v>1016635.6299999999</v>
      </c>
      <c r="F5" s="260">
        <f t="shared" ref="F5:F8" si="0">D5-E5</f>
        <v>1281710.1700000004</v>
      </c>
    </row>
    <row r="6" spans="2:13" x14ac:dyDescent="0.2">
      <c r="B6" s="16" t="s">
        <v>1330</v>
      </c>
      <c r="C6" s="1" t="s">
        <v>122</v>
      </c>
      <c r="D6" s="10">
        <f>SUMIF(DATA!R:R,B6,DATA!O:O)</f>
        <v>104052.36999999992</v>
      </c>
      <c r="E6" s="18">
        <f>SUMIF(DATA!R:R,B6,DATA!N:N)</f>
        <v>98973.310000000041</v>
      </c>
      <c r="F6" s="260">
        <f t="shared" si="0"/>
        <v>5079.0599999998813</v>
      </c>
    </row>
    <row r="7" spans="2:13" x14ac:dyDescent="0.2">
      <c r="B7" s="16" t="s">
        <v>1331</v>
      </c>
      <c r="C7" s="1" t="s">
        <v>123</v>
      </c>
      <c r="D7" s="10">
        <f>SUMIF(DATA!R:R,B7,DATA!O:O)</f>
        <v>369344.04603338579</v>
      </c>
      <c r="E7" s="18">
        <f>SUMIF(DATA!R:R,B7,DATA!N:N)</f>
        <v>246568.15301669293</v>
      </c>
      <c r="F7" s="260">
        <f t="shared" si="0"/>
        <v>122775.89301669286</v>
      </c>
    </row>
    <row r="8" spans="2:13" ht="12" thickBot="1" x14ac:dyDescent="0.25">
      <c r="B8" s="16" t="s">
        <v>1332</v>
      </c>
      <c r="C8" s="1" t="s">
        <v>124</v>
      </c>
      <c r="D8" s="10">
        <f>SUMIF(DATA!R:R,B8,DATA!O:O)</f>
        <v>41403.599999999999</v>
      </c>
      <c r="E8" s="18">
        <f>SUMIF(DATA!R:R,B8,DATA!N:N)</f>
        <v>3519754</v>
      </c>
      <c r="F8" s="260">
        <f t="shared" si="0"/>
        <v>-3478350.4</v>
      </c>
    </row>
    <row r="9" spans="2:13" ht="12" thickBot="1" x14ac:dyDescent="0.25">
      <c r="C9" s="11" t="s">
        <v>117</v>
      </c>
      <c r="D9" s="12">
        <f>SUM(D4:D8)</f>
        <v>17036659.201524746</v>
      </c>
      <c r="E9" s="12">
        <f>SUM(E4:E8)</f>
        <v>17230107.239249621</v>
      </c>
      <c r="F9" s="227">
        <f>SUM(F4:F8)</f>
        <v>-193448.03772487771</v>
      </c>
    </row>
    <row r="12" spans="2:13" x14ac:dyDescent="0.2">
      <c r="H12" s="16" t="s">
        <v>1335</v>
      </c>
      <c r="I12" s="16" t="s">
        <v>1339</v>
      </c>
      <c r="J12" s="16" t="s">
        <v>1341</v>
      </c>
      <c r="K12" s="16" t="s">
        <v>1342</v>
      </c>
      <c r="L12" s="16" t="s">
        <v>1336</v>
      </c>
    </row>
    <row r="13" spans="2:13" ht="12" thickBot="1" x14ac:dyDescent="0.25">
      <c r="H13" s="16" t="s">
        <v>1338</v>
      </c>
      <c r="I13" s="16" t="s">
        <v>1340</v>
      </c>
      <c r="J13" s="16" t="s">
        <v>1333</v>
      </c>
      <c r="K13" s="16" t="s">
        <v>1334</v>
      </c>
      <c r="L13" s="16" t="s">
        <v>1337</v>
      </c>
    </row>
    <row r="14" spans="2:13" ht="34.5" thickBot="1" x14ac:dyDescent="0.25">
      <c r="G14" s="14" t="s">
        <v>1395</v>
      </c>
      <c r="H14" s="7" t="s">
        <v>120</v>
      </c>
      <c r="I14" s="7" t="s">
        <v>148</v>
      </c>
      <c r="J14" s="7" t="s">
        <v>149</v>
      </c>
      <c r="K14" s="7" t="s">
        <v>123</v>
      </c>
      <c r="L14" s="7" t="s">
        <v>150</v>
      </c>
      <c r="M14" s="8" t="s">
        <v>117</v>
      </c>
    </row>
    <row r="15" spans="2:13" x14ac:dyDescent="0.2">
      <c r="G15" s="3" t="s">
        <v>151</v>
      </c>
      <c r="H15" s="259">
        <f>SUMIF(DATA!$S:$S,H12,DATA!$M:$M)-H17</f>
        <v>12675238.202792266</v>
      </c>
      <c r="I15" s="259">
        <f>SUMIF(DATA!$S:$S,I12,DATA!$M:$M)</f>
        <v>6324232.0499999989</v>
      </c>
      <c r="J15" s="259">
        <f>SUMIF(DATA!$S:$S,J12,DATA!$M:$M)</f>
        <v>981083.38</v>
      </c>
      <c r="K15" s="259">
        <f>SUMIF(DATA!$S:$S,K12,DATA!$M:$M)</f>
        <v>824506.52</v>
      </c>
      <c r="L15" s="259">
        <f>SUMIF(DATA!$S:$S,L12,DATA!$M:$M)</f>
        <v>1296606.72</v>
      </c>
      <c r="M15" s="262">
        <f>SUM(H15:L15)</f>
        <v>22101666.872792263</v>
      </c>
    </row>
    <row r="16" spans="2:13" x14ac:dyDescent="0.2">
      <c r="G16" s="1" t="s">
        <v>152</v>
      </c>
      <c r="H16" s="259">
        <f>SUMIF(DATA!$S:$S,H13,DATA!$M:$M)</f>
        <v>-2112982.2027922673</v>
      </c>
      <c r="I16" s="259">
        <f>SUMIF(DATA!$S:$S,I13,DATA!$M:$M)</f>
        <v>-5131163.7299999995</v>
      </c>
      <c r="J16" s="259">
        <f>SUMIF(DATA!$S:$S,J13,DATA!$M:$M)</f>
        <v>-886306.84</v>
      </c>
      <c r="K16" s="259">
        <f>SUMIF(DATA!$S:$S,K13,DATA!$M:$M)</f>
        <v>-696921.23</v>
      </c>
      <c r="L16" s="259">
        <f>SUMIF(DATA!$S:$S,L13,DATA!$M:$M)</f>
        <v>0</v>
      </c>
      <c r="M16" s="263">
        <f>SUM(H16:L16)</f>
        <v>-8827374.0027922671</v>
      </c>
    </row>
    <row r="17" spans="7:19" ht="12" thickBot="1" x14ac:dyDescent="0.25">
      <c r="G17" s="2" t="s">
        <v>153</v>
      </c>
      <c r="H17" s="261">
        <v>2179744</v>
      </c>
      <c r="I17" s="261">
        <v>0</v>
      </c>
      <c r="J17" s="261">
        <v>0</v>
      </c>
      <c r="K17" s="261">
        <v>0</v>
      </c>
      <c r="L17" s="205">
        <v>0</v>
      </c>
      <c r="M17" s="264">
        <f>SUM(H17:L17)</f>
        <v>2179744</v>
      </c>
    </row>
    <row r="18" spans="7:19" ht="12" thickBot="1" x14ac:dyDescent="0.25">
      <c r="G18" s="25" t="s">
        <v>1408</v>
      </c>
      <c r="H18" s="265">
        <f t="shared" ref="H18:M18" si="1">SUM(H15:H17)</f>
        <v>12742000</v>
      </c>
      <c r="I18" s="265">
        <f t="shared" si="1"/>
        <v>1193068.3199999994</v>
      </c>
      <c r="J18" s="265">
        <f t="shared" si="1"/>
        <v>94776.540000000037</v>
      </c>
      <c r="K18" s="265">
        <f t="shared" si="1"/>
        <v>127585.29000000004</v>
      </c>
      <c r="L18" s="265">
        <f t="shared" si="1"/>
        <v>1296606.72</v>
      </c>
      <c r="M18" s="266">
        <f t="shared" si="1"/>
        <v>15454036.869999995</v>
      </c>
    </row>
    <row r="19" spans="7:19" ht="12" thickBot="1" x14ac:dyDescent="0.25">
      <c r="G19" s="605" t="s">
        <v>158</v>
      </c>
      <c r="H19" s="606"/>
      <c r="I19" s="606"/>
      <c r="J19" s="606"/>
      <c r="K19" s="606"/>
      <c r="L19" s="606"/>
      <c r="M19" s="607"/>
    </row>
    <row r="20" spans="7:19" x14ac:dyDescent="0.2">
      <c r="G20" s="3" t="s">
        <v>154</v>
      </c>
      <c r="H20" s="259">
        <f>SUMIF(DATA!$S:$S,H12,DATA!$N:$N)-SUMIF(DATA!$S:$S,H12,DATA!$M:$M)</f>
        <v>9660</v>
      </c>
      <c r="I20" s="259">
        <f>SUMIF(DATA!$S:$S,I12,DATA!$N:$N)-SUMIF(DATA!$S:$S,I12,DATA!$M:$M)</f>
        <v>104591.4299999997</v>
      </c>
      <c r="J20" s="259">
        <f>SUMIF(DATA!$S:$S,J12,DATA!$N:$N)-SUMIF(DATA!$S:$S,J12,DATA!$M:$M)</f>
        <v>37440.229999999981</v>
      </c>
      <c r="K20" s="259">
        <f>SUMIF(DATA!$S:$S,K12,DATA!$N:$N)-SUMIF(DATA!$S:$S,K12,DATA!$M:$M)</f>
        <v>168858.03999999992</v>
      </c>
      <c r="L20" s="259">
        <f>SUMIF(DATA!$S:$S,L12,DATA!$N:$N)-SUMIF(DATA!$S:$S,L12,DATA!$M:$M)</f>
        <v>2223147.2800000003</v>
      </c>
      <c r="M20" s="267">
        <f>SUM(H20:L20)</f>
        <v>2543696.98</v>
      </c>
    </row>
    <row r="21" spans="7:19" x14ac:dyDescent="0.2">
      <c r="G21" s="1" t="s">
        <v>155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60">
        <f t="shared" ref="M21:M23" si="2">SUM(H21:L21)</f>
        <v>0</v>
      </c>
    </row>
    <row r="22" spans="7:19" x14ac:dyDescent="0.2">
      <c r="G22" s="1" t="s">
        <v>41</v>
      </c>
      <c r="H22" s="259">
        <f>SUMIF(DATA!$S:$S,H13,DATA!$N:$N)-SUMIF(DATA!$S:$S,H13,DATA!$M:$M)</f>
        <v>-403483.85376706673</v>
      </c>
      <c r="I22" s="259">
        <f>SUMIF(DATA!$S:$S,I13,DATA!$N:$N)-SUMIF(DATA!$S:$S,I13,DATA!$M:$M)</f>
        <v>-281024.12000000011</v>
      </c>
      <c r="J22" s="259">
        <f>SUMIF(DATA!$S:$S,J13,DATA!$N:$N)-SUMIF(DATA!$S:$S,J13,DATA!$M:$M)</f>
        <v>-33243.459999999963</v>
      </c>
      <c r="K22" s="259">
        <f>SUMIF(DATA!$S:$S,K13,DATA!$N:$N)-SUMIF(DATA!$S:$S,K13,DATA!$M:$M)</f>
        <v>-49875.176983306999</v>
      </c>
      <c r="L22" s="259">
        <f>SUMIF(DATA!$S:$S,L13,DATA!$N:$N)-SUMIF(DATA!$S:$S,L13,DATA!$M:$M)</f>
        <v>0</v>
      </c>
      <c r="M22" s="260">
        <f t="shared" si="2"/>
        <v>-767626.6107503738</v>
      </c>
    </row>
    <row r="23" spans="7:19" ht="12" thickBot="1" x14ac:dyDescent="0.25">
      <c r="G23" s="4" t="s">
        <v>156</v>
      </c>
      <c r="H23" s="268">
        <v>0</v>
      </c>
      <c r="I23" s="268">
        <v>0</v>
      </c>
      <c r="J23" s="268">
        <v>0</v>
      </c>
      <c r="K23" s="268">
        <v>0</v>
      </c>
      <c r="L23" s="268">
        <v>0</v>
      </c>
      <c r="M23" s="269">
        <f t="shared" si="2"/>
        <v>0</v>
      </c>
    </row>
    <row r="24" spans="7:19" ht="12" thickBot="1" x14ac:dyDescent="0.25">
      <c r="G24" s="11" t="s">
        <v>157</v>
      </c>
      <c r="H24" s="270">
        <f t="shared" ref="H24:M24" si="3">SUM(H20:H23)+H18</f>
        <v>12348176.146232933</v>
      </c>
      <c r="I24" s="270">
        <f t="shared" si="3"/>
        <v>1016635.629999999</v>
      </c>
      <c r="J24" s="270">
        <f t="shared" si="3"/>
        <v>98973.310000000056</v>
      </c>
      <c r="K24" s="270">
        <f t="shared" si="3"/>
        <v>246568.15301669296</v>
      </c>
      <c r="L24" s="270">
        <f t="shared" si="3"/>
        <v>3519754</v>
      </c>
      <c r="M24" s="271">
        <f t="shared" si="3"/>
        <v>17230107.239249621</v>
      </c>
    </row>
    <row r="25" spans="7:19" x14ac:dyDescent="0.2">
      <c r="G25" s="3" t="s">
        <v>151</v>
      </c>
      <c r="H25" s="254">
        <f>+H15+H20+H17</f>
        <v>14864642.202792266</v>
      </c>
      <c r="I25" s="254">
        <f>+I15+I20</f>
        <v>6428823.4799999986</v>
      </c>
      <c r="J25" s="254">
        <f t="shared" ref="J25:L25" si="4">+J15+J20</f>
        <v>1018523.61</v>
      </c>
      <c r="K25" s="254">
        <f t="shared" si="4"/>
        <v>993364.55999999994</v>
      </c>
      <c r="L25" s="254">
        <f t="shared" si="4"/>
        <v>3519754</v>
      </c>
      <c r="M25" s="267">
        <f>SUM(H25:L25)</f>
        <v>26825107.852792263</v>
      </c>
      <c r="O25" s="20"/>
      <c r="P25" s="20"/>
    </row>
    <row r="26" spans="7:19" ht="12" thickBot="1" x14ac:dyDescent="0.25">
      <c r="G26" s="4" t="s">
        <v>152</v>
      </c>
      <c r="H26" s="261">
        <f>+H16+H22</f>
        <v>-2516466.056559334</v>
      </c>
      <c r="I26" s="261">
        <f t="shared" ref="I26:L26" si="5">+I16+I22</f>
        <v>-5412187.8499999996</v>
      </c>
      <c r="J26" s="261">
        <f t="shared" si="5"/>
        <v>-919550.29999999993</v>
      </c>
      <c r="K26" s="261">
        <f t="shared" si="5"/>
        <v>-746796.40698330698</v>
      </c>
      <c r="L26" s="261">
        <f t="shared" si="5"/>
        <v>0</v>
      </c>
      <c r="M26" s="269">
        <f>SUM(H26:L26)</f>
        <v>-9595000.6135426406</v>
      </c>
    </row>
    <row r="27" spans="7:19" ht="12" thickBot="1" x14ac:dyDescent="0.25">
      <c r="G27" s="25" t="s">
        <v>1409</v>
      </c>
      <c r="H27" s="265">
        <f t="shared" ref="H27:M27" si="6">SUM(H25:H26)</f>
        <v>12348176.146232933</v>
      </c>
      <c r="I27" s="265">
        <f t="shared" si="6"/>
        <v>1016635.629999999</v>
      </c>
      <c r="J27" s="265">
        <f t="shared" si="6"/>
        <v>98973.310000000056</v>
      </c>
      <c r="K27" s="265">
        <f t="shared" si="6"/>
        <v>246568.15301669296</v>
      </c>
      <c r="L27" s="265">
        <f t="shared" si="6"/>
        <v>3519754</v>
      </c>
      <c r="M27" s="266">
        <f t="shared" si="6"/>
        <v>17230107.239249624</v>
      </c>
    </row>
    <row r="28" spans="7:19" ht="12" thickBot="1" x14ac:dyDescent="0.25">
      <c r="G28" s="608" t="s">
        <v>159</v>
      </c>
      <c r="H28" s="609"/>
      <c r="I28" s="609"/>
      <c r="J28" s="609"/>
      <c r="K28" s="609"/>
      <c r="L28" s="609"/>
      <c r="M28" s="610"/>
    </row>
    <row r="29" spans="7:19" x14ac:dyDescent="0.2">
      <c r="G29" s="276" t="s">
        <v>154</v>
      </c>
      <c r="H29" s="282">
        <f>SUMIF(DATA!$S:$S,H12,DATA!$O:$O)-SUMIF(DATA!$S:$S,H12,DATA!$N:$N)-H31</f>
        <v>2348119.5299999993</v>
      </c>
      <c r="I29" s="282">
        <f>SUMIF(DATA!$S:$S,I12,DATA!$O:$O)-SUMIF(DATA!$S:$S,I12,DATA!$N:$N)-I31</f>
        <v>1618748.2400000002</v>
      </c>
      <c r="J29" s="282">
        <f>SUMIF(DATA!$S:$S,J12,DATA!$O:$O)-SUMIF(DATA!$S:$S,J12,DATA!$N:$N)-J31</f>
        <v>38718.599999999977</v>
      </c>
      <c r="K29" s="282">
        <f>SUMIF(DATA!$S:$S,K12,DATA!$O:$O)-SUMIF(DATA!$S:$S,K12,DATA!$N:$N)-K31</f>
        <v>204193.51000000013</v>
      </c>
      <c r="L29" s="282">
        <f>SUMIF(DATA!$S:$S,L12,DATA!$O:$O)-SUMIF(DATA!$S:$S,L12,DATA!$N:$N)-L30</f>
        <v>848811.60000000009</v>
      </c>
      <c r="M29" s="278">
        <f>SUM(H29:L29)</f>
        <v>5058591.4800000004</v>
      </c>
    </row>
    <row r="30" spans="7:19" x14ac:dyDescent="0.2">
      <c r="G30" s="283" t="s">
        <v>155</v>
      </c>
      <c r="H30" s="284">
        <f>SUM(H31:H32)</f>
        <v>0</v>
      </c>
      <c r="I30" s="284">
        <f t="shared" ref="I30:M30" si="7">SUM(I31:I32)</f>
        <v>0</v>
      </c>
      <c r="J30" s="284">
        <f t="shared" si="7"/>
        <v>-1100</v>
      </c>
      <c r="K30" s="284">
        <f t="shared" si="7"/>
        <v>-16182</v>
      </c>
      <c r="L30" s="284">
        <f t="shared" si="7"/>
        <v>-4327162</v>
      </c>
      <c r="M30" s="285">
        <f t="shared" si="7"/>
        <v>-4344444</v>
      </c>
    </row>
    <row r="31" spans="7:19" s="274" customFormat="1" hidden="1" outlineLevel="1" x14ac:dyDescent="0.2">
      <c r="G31" s="286" t="s">
        <v>1343</v>
      </c>
      <c r="H31" s="287"/>
      <c r="I31" s="287"/>
      <c r="J31" s="287">
        <v>-1100</v>
      </c>
      <c r="K31" s="287">
        <f>-59944-962</f>
        <v>-60906</v>
      </c>
      <c r="L31" s="287">
        <v>-4327162</v>
      </c>
      <c r="M31" s="288">
        <f t="shared" ref="M31:M34" si="8">SUM(H31:L31)</f>
        <v>-4389168</v>
      </c>
      <c r="S31" s="361"/>
    </row>
    <row r="32" spans="7:19" s="274" customFormat="1" hidden="1" outlineLevel="1" x14ac:dyDescent="0.2">
      <c r="G32" s="286" t="s">
        <v>1344</v>
      </c>
      <c r="H32" s="287"/>
      <c r="I32" s="287"/>
      <c r="J32" s="287"/>
      <c r="K32" s="287">
        <f>45686-962</f>
        <v>44724</v>
      </c>
      <c r="L32" s="287"/>
      <c r="M32" s="288">
        <f t="shared" si="8"/>
        <v>44724</v>
      </c>
      <c r="O32" s="275">
        <f>438013+23645+SUM(I33:K33)</f>
        <v>26844.773016692372</v>
      </c>
      <c r="S32" s="361"/>
    </row>
    <row r="33" spans="7:15" collapsed="1" x14ac:dyDescent="0.2">
      <c r="G33" s="283" t="s">
        <v>41</v>
      </c>
      <c r="H33" s="282">
        <f>SUMIF(DATA!$S:$S,H13,DATA!$O:$O)-SUMIF(DATA!$S:$S,H13,DATA!$N:$N)-H32</f>
        <v>-472782.29074157774</v>
      </c>
      <c r="I33" s="282">
        <f>SUMIF(DATA!$S:$S,I13,DATA!$O:$O)-SUMIF(DATA!$S:$S,I13,DATA!$N:$N)-I32</f>
        <v>-337038.0700000003</v>
      </c>
      <c r="J33" s="282">
        <f>SUMIF(DATA!$S:$S,J13,DATA!$O:$O)-SUMIF(DATA!$S:$S,J13,DATA!$N:$N)-J32</f>
        <v>-32539.540000000154</v>
      </c>
      <c r="K33" s="282">
        <f>SUMIF(DATA!$S:$S,K13,DATA!$O:$O)-SUMIF(DATA!$S:$S,K13,DATA!$N:$N)-K32</f>
        <v>-65235.616983307176</v>
      </c>
      <c r="L33" s="282">
        <f>SUMIF(DATA!$S:$S,L13,DATA!$O:$O)-SUMIF(DATA!$S:$S,L13,DATA!$N:$N)-L32</f>
        <v>0</v>
      </c>
      <c r="M33" s="285">
        <f t="shared" si="8"/>
        <v>-907595.51772488537</v>
      </c>
      <c r="O33" s="16">
        <v>878514</v>
      </c>
    </row>
    <row r="34" spans="7:15" ht="12" thickBot="1" x14ac:dyDescent="0.25">
      <c r="G34" s="279" t="s">
        <v>156</v>
      </c>
      <c r="H34" s="289">
        <v>0</v>
      </c>
      <c r="I34" s="289">
        <v>0</v>
      </c>
      <c r="J34" s="289">
        <v>0</v>
      </c>
      <c r="K34" s="289">
        <v>0</v>
      </c>
      <c r="L34" s="289">
        <v>0</v>
      </c>
      <c r="M34" s="281">
        <f t="shared" si="8"/>
        <v>0</v>
      </c>
      <c r="O34" s="215"/>
    </row>
    <row r="35" spans="7:15" ht="12" thickBot="1" x14ac:dyDescent="0.25">
      <c r="G35" s="290" t="s">
        <v>157</v>
      </c>
      <c r="H35" s="291">
        <f>+H29+H30+H33+H34+H27</f>
        <v>14223513.385491354</v>
      </c>
      <c r="I35" s="291">
        <f t="shared" ref="I35:M35" si="9">+I29+I30+I33+I34+I27</f>
        <v>2298345.7999999989</v>
      </c>
      <c r="J35" s="291">
        <f t="shared" si="9"/>
        <v>104052.36999999988</v>
      </c>
      <c r="K35" s="291">
        <f t="shared" si="9"/>
        <v>369344.04603338591</v>
      </c>
      <c r="L35" s="291">
        <f t="shared" si="9"/>
        <v>41403.600000000093</v>
      </c>
      <c r="M35" s="291">
        <f t="shared" si="9"/>
        <v>17036659.201524738</v>
      </c>
      <c r="N35" s="215"/>
    </row>
    <row r="36" spans="7:15" x14ac:dyDescent="0.2">
      <c r="G36" s="276" t="s">
        <v>151</v>
      </c>
      <c r="H36" s="277">
        <f>+H25+H29+H31</f>
        <v>17212761.732792266</v>
      </c>
      <c r="I36" s="277">
        <f t="shared" ref="I36:L36" si="10">+I25+I29+I31</f>
        <v>8047571.7199999988</v>
      </c>
      <c r="J36" s="277">
        <f t="shared" si="10"/>
        <v>1056142.21</v>
      </c>
      <c r="K36" s="277">
        <f t="shared" si="10"/>
        <v>1136652.07</v>
      </c>
      <c r="L36" s="277">
        <f t="shared" si="10"/>
        <v>41403.599999999627</v>
      </c>
      <c r="M36" s="278">
        <f>SUM(H36:L36)</f>
        <v>27494531.332792267</v>
      </c>
    </row>
    <row r="37" spans="7:15" ht="12" thickBot="1" x14ac:dyDescent="0.25">
      <c r="G37" s="279" t="s">
        <v>152</v>
      </c>
      <c r="H37" s="280">
        <f>+H26+H33</f>
        <v>-2989248.3473009118</v>
      </c>
      <c r="I37" s="280">
        <f t="shared" ref="I37:L37" si="11">+I26+I33</f>
        <v>-5749225.9199999999</v>
      </c>
      <c r="J37" s="280">
        <f t="shared" si="11"/>
        <v>-952089.84000000008</v>
      </c>
      <c r="K37" s="280">
        <f>+K26+K33+K32</f>
        <v>-767308.02396661416</v>
      </c>
      <c r="L37" s="280">
        <f t="shared" si="11"/>
        <v>0</v>
      </c>
      <c r="M37" s="281">
        <f>SUM(H37:L37)</f>
        <v>-10457872.131267525</v>
      </c>
    </row>
    <row r="38" spans="7:15" ht="12" thickBot="1" x14ac:dyDescent="0.25">
      <c r="G38" s="25" t="s">
        <v>1410</v>
      </c>
      <c r="H38" s="272">
        <f t="shared" ref="H38:M38" si="12">SUM(H36:H37)</f>
        <v>14223513.385491354</v>
      </c>
      <c r="I38" s="272">
        <f t="shared" si="12"/>
        <v>2298345.7999999989</v>
      </c>
      <c r="J38" s="272">
        <f t="shared" si="12"/>
        <v>104052.36999999988</v>
      </c>
      <c r="K38" s="272">
        <f t="shared" si="12"/>
        <v>369344.04603338591</v>
      </c>
      <c r="L38" s="272">
        <f t="shared" si="12"/>
        <v>41403.599999999627</v>
      </c>
      <c r="M38" s="273">
        <f t="shared" si="12"/>
        <v>17036659.201524742</v>
      </c>
    </row>
    <row r="40" spans="7:15" ht="12" thickBot="1" x14ac:dyDescent="0.25"/>
    <row r="41" spans="7:15" x14ac:dyDescent="0.2">
      <c r="G41" s="3" t="s">
        <v>151</v>
      </c>
      <c r="H41" s="259">
        <f>SUMIF(DATA!$S:$S,H12,DATA!$O:$O)</f>
        <v>17212761.732792266</v>
      </c>
      <c r="I41" s="259">
        <f>SUMIF(DATA!$S:$S,I12,DATA!$O:$O)</f>
        <v>8047571.7199999988</v>
      </c>
      <c r="J41" s="259">
        <f>SUMIF(DATA!$S:$S,J12,DATA!$O:$O)</f>
        <v>1056142.21</v>
      </c>
      <c r="K41" s="259">
        <f>SUMIF(DATA!$S:$S,K12,DATA!$O:$O)</f>
        <v>1136652.07</v>
      </c>
      <c r="L41" s="259">
        <f>SUMIF(DATA!$S:$S,L12,DATA!$O:$O)</f>
        <v>41403.599999999999</v>
      </c>
      <c r="M41" s="215">
        <f>SUM(H41:L41)</f>
        <v>27494531.332792267</v>
      </c>
    </row>
    <row r="42" spans="7:15" ht="12" thickBot="1" x14ac:dyDescent="0.25">
      <c r="G42" s="4" t="s">
        <v>152</v>
      </c>
      <c r="H42" s="259">
        <f>SUMIF(DATA!$S:$S,H13,DATA!$O:$O)</f>
        <v>-2989248.3473009118</v>
      </c>
      <c r="I42" s="259">
        <f>SUMIF(DATA!$S:$S,I13,DATA!$O:$O)</f>
        <v>-5749225.9199999999</v>
      </c>
      <c r="J42" s="259">
        <f>SUMIF(DATA!$S:$S,J13,DATA!$O:$O)</f>
        <v>-952089.84000000008</v>
      </c>
      <c r="K42" s="259">
        <f>SUMIF(DATA!$S:$S,K13,DATA!$O:$O)</f>
        <v>-767308.02396661416</v>
      </c>
      <c r="L42" s="259">
        <f>SUMIF(DATA!$S:$S,L13,DATA!$O:$O)</f>
        <v>0</v>
      </c>
      <c r="M42" s="215">
        <f>SUM(H42:L42)</f>
        <v>-10457872.131267525</v>
      </c>
    </row>
    <row r="43" spans="7:15" x14ac:dyDescent="0.2">
      <c r="H43" s="215">
        <f t="shared" ref="H43:L43" si="13">SUM(H41:H42)</f>
        <v>14223513.385491354</v>
      </c>
      <c r="I43" s="215">
        <f t="shared" si="13"/>
        <v>2298345.7999999989</v>
      </c>
      <c r="J43" s="215">
        <f t="shared" si="13"/>
        <v>104052.36999999988</v>
      </c>
      <c r="K43" s="215">
        <f t="shared" si="13"/>
        <v>369344.04603338591</v>
      </c>
      <c r="L43" s="215">
        <f t="shared" si="13"/>
        <v>41403.599999999999</v>
      </c>
      <c r="M43" s="215">
        <f>SUM(M41:M42)</f>
        <v>17036659.201524742</v>
      </c>
    </row>
  </sheetData>
  <mergeCells count="2">
    <mergeCell ref="G19:M19"/>
    <mergeCell ref="G28:M28"/>
  </mergeCells>
  <pageMargins left="0.7" right="0.7" top="0.75" bottom="0.75" header="0.3" footer="0.3"/>
  <pageSetup paperSize="9" orientation="portrait" r:id="rId1"/>
  <ignoredErrors>
    <ignoredError sqref="M3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 customWidth="1"/>
    <col min="2" max="2" width="50.25" style="16" customWidth="1"/>
    <col min="3" max="5" width="14.125" style="16" customWidth="1"/>
    <col min="6" max="16384" width="9.125" style="16"/>
  </cols>
  <sheetData>
    <row r="2" spans="1:10" ht="12" thickBot="1" x14ac:dyDescent="0.25"/>
    <row r="3" spans="1:10" ht="12" thickBot="1" x14ac:dyDescent="0.25">
      <c r="B3" s="14" t="s">
        <v>1395</v>
      </c>
      <c r="C3" s="436">
        <v>42369</v>
      </c>
      <c r="D3" s="436">
        <v>42004</v>
      </c>
      <c r="E3" s="17" t="s">
        <v>116</v>
      </c>
    </row>
    <row r="4" spans="1:10" ht="12" thickBot="1" x14ac:dyDescent="0.25">
      <c r="A4" s="16" t="s">
        <v>867</v>
      </c>
      <c r="B4" s="1" t="s">
        <v>870</v>
      </c>
      <c r="C4" s="87">
        <f>SUMIF(DATA!R:R,A4,DATA!O:O)</f>
        <v>4040.22</v>
      </c>
      <c r="D4" s="10">
        <f>SUMIF(DATA!R:R,A4,DATA!N:N)</f>
        <v>3519.58</v>
      </c>
      <c r="E4" s="22">
        <f>C4-D4</f>
        <v>520.63999999999987</v>
      </c>
    </row>
    <row r="5" spans="1:10" ht="12" thickBot="1" x14ac:dyDescent="0.25">
      <c r="B5" s="81" t="s">
        <v>117</v>
      </c>
      <c r="C5" s="12">
        <f>SUM(C4:C4)</f>
        <v>4040.22</v>
      </c>
      <c r="D5" s="12">
        <f>SUM(D4:D4)</f>
        <v>3519.58</v>
      </c>
      <c r="E5" s="13">
        <f>SUM(E4:E4)</f>
        <v>520.63999999999987</v>
      </c>
    </row>
    <row r="14" spans="1:10" x14ac:dyDescent="0.2">
      <c r="J14" s="252">
        <v>-34887</v>
      </c>
    </row>
    <row r="15" spans="1:10" x14ac:dyDescent="0.2">
      <c r="J15" s="252"/>
    </row>
    <row r="16" spans="1:10" x14ac:dyDescent="0.2">
      <c r="J16" s="252"/>
    </row>
    <row r="17" spans="10:10" x14ac:dyDescent="0.2">
      <c r="J17" s="253">
        <v>-119</v>
      </c>
    </row>
    <row r="18" spans="10:10" x14ac:dyDescent="0.2">
      <c r="J18" s="252">
        <v>-1847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10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17" t="s">
        <v>116</v>
      </c>
    </row>
    <row r="5" spans="1:5" x14ac:dyDescent="0.2">
      <c r="A5" s="16" t="s">
        <v>919</v>
      </c>
      <c r="B5" s="3" t="s">
        <v>318</v>
      </c>
      <c r="C5" s="220">
        <f>SUMIF(DATA!R:R,A5,DATA!O:O)</f>
        <v>532881.71</v>
      </c>
      <c r="D5" s="220">
        <f>SUMIF(DATA!R:R,A5,DATA!N:N)</f>
        <v>132196.96</v>
      </c>
      <c r="E5" s="228">
        <f>C5-D5</f>
        <v>400684.75</v>
      </c>
    </row>
    <row r="6" spans="1:5" x14ac:dyDescent="0.2">
      <c r="A6" s="16" t="s">
        <v>920</v>
      </c>
      <c r="B6" s="1" t="s">
        <v>347</v>
      </c>
      <c r="C6" s="212">
        <f>SUMIF(DATA!R:R,A6,DATA!O:O)</f>
        <v>7184.2999999999993</v>
      </c>
      <c r="D6" s="212">
        <f>SUMIF(DATA!R:R,A6,DATA!N:N)</f>
        <v>4129.2700000000004</v>
      </c>
      <c r="E6" s="225">
        <f t="shared" ref="E6" si="0">C6-D6</f>
        <v>3055.0299999999988</v>
      </c>
    </row>
    <row r="7" spans="1:5" x14ac:dyDescent="0.2">
      <c r="A7" s="16" t="s">
        <v>917</v>
      </c>
      <c r="B7" s="1" t="s">
        <v>297</v>
      </c>
      <c r="C7" s="212">
        <f>SUMIF(DATA!R:R,A7,DATA!O:O)</f>
        <v>920628.13</v>
      </c>
      <c r="D7" s="212">
        <f>SUMIF(DATA!R:R,A7,DATA!N:N)</f>
        <v>1345245.23</v>
      </c>
      <c r="E7" s="225">
        <f t="shared" ref="E7" si="1">C7-D7</f>
        <v>-424617.1</v>
      </c>
    </row>
    <row r="8" spans="1:5" x14ac:dyDescent="0.2">
      <c r="A8" s="16" t="s">
        <v>918</v>
      </c>
      <c r="B8" s="86" t="s">
        <v>922</v>
      </c>
      <c r="C8" s="212">
        <f>SUMIF(DATA!R:R,A8,DATA!O:O)</f>
        <v>939334.87</v>
      </c>
      <c r="D8" s="212">
        <f>SUMIF(DATA!R:R,A8,DATA!N:N)</f>
        <v>937358.81</v>
      </c>
      <c r="E8" s="225">
        <f t="shared" ref="E8:E9" si="2">C8-D8</f>
        <v>1976.0599999999395</v>
      </c>
    </row>
    <row r="9" spans="1:5" ht="12" thickBot="1" x14ac:dyDescent="0.25">
      <c r="A9" s="16" t="s">
        <v>921</v>
      </c>
      <c r="B9" s="4" t="s">
        <v>1313</v>
      </c>
      <c r="C9" s="229">
        <f>SUMIF(DATA!R:R,A9,DATA!O:O)</f>
        <v>51822.65</v>
      </c>
      <c r="D9" s="229">
        <f>SUMIF(DATA!R:R,A9,DATA!N:N)</f>
        <v>20984.44</v>
      </c>
      <c r="E9" s="230">
        <f t="shared" si="2"/>
        <v>30838.210000000003</v>
      </c>
    </row>
    <row r="10" spans="1:5" ht="12" thickBot="1" x14ac:dyDescent="0.25">
      <c r="B10" s="81" t="s">
        <v>117</v>
      </c>
      <c r="C10" s="226">
        <f>SUM(C5:C9)</f>
        <v>2451851.66</v>
      </c>
      <c r="D10" s="226">
        <f>SUM(D5:D9)</f>
        <v>2439914.71</v>
      </c>
      <c r="E10" s="227">
        <f>SUM(E5:E9)</f>
        <v>11936.949999999993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17" t="s">
        <v>116</v>
      </c>
    </row>
    <row r="5" spans="1:5" x14ac:dyDescent="0.2">
      <c r="A5" s="16" t="s">
        <v>869</v>
      </c>
      <c r="B5" s="1" t="s">
        <v>128</v>
      </c>
      <c r="C5" s="212">
        <f>SUMIF(DATA!R:R,A5,DATA!O:O)</f>
        <v>10131381.26</v>
      </c>
      <c r="D5" s="212">
        <f>SUMIF(DATA!R:R,A5,DATA!N:N)</f>
        <v>9525348.7100000009</v>
      </c>
      <c r="E5" s="225">
        <f>C5-D5</f>
        <v>606032.54999999888</v>
      </c>
    </row>
    <row r="6" spans="1:5" x14ac:dyDescent="0.2">
      <c r="A6" s="16" t="s">
        <v>876</v>
      </c>
      <c r="B6" s="1" t="s">
        <v>875</v>
      </c>
      <c r="C6" s="212">
        <f>SUMIF(DATA!R:R,A6,DATA!O:O)</f>
        <v>0</v>
      </c>
      <c r="D6" s="212">
        <f>SUMIF(DATA!R:R,A6,DATA!N:N)</f>
        <v>0</v>
      </c>
      <c r="E6" s="225">
        <f t="shared" ref="E6:E7" si="0">C6-D6</f>
        <v>0</v>
      </c>
    </row>
    <row r="7" spans="1:5" ht="12" thickBot="1" x14ac:dyDescent="0.25">
      <c r="A7" s="16" t="s">
        <v>877</v>
      </c>
      <c r="B7" s="1" t="s">
        <v>874</v>
      </c>
      <c r="C7" s="212">
        <f>SUMIF(DATA!R:R,A7,DATA!O:O)</f>
        <v>-620044.38</v>
      </c>
      <c r="D7" s="212">
        <f>SUMIF(DATA!R:R,A7,DATA!N:N)</f>
        <v>-691728.03999999992</v>
      </c>
      <c r="E7" s="225">
        <f t="shared" si="0"/>
        <v>71683.659999999916</v>
      </c>
    </row>
    <row r="8" spans="1:5" ht="12" thickBot="1" x14ac:dyDescent="0.25">
      <c r="B8" s="11" t="s">
        <v>117</v>
      </c>
      <c r="C8" s="226">
        <f>SUM(C5:C7)</f>
        <v>9511336.879999999</v>
      </c>
      <c r="D8" s="226">
        <f>SUM(D5:D7)</f>
        <v>8833620.6700000018</v>
      </c>
      <c r="E8" s="227">
        <f>SUM(E5:E7)</f>
        <v>677716.2099999988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7"/>
  <sheetViews>
    <sheetView workbookViewId="0">
      <selection activeCell="B3" sqref="B3:E7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2" spans="1:5" ht="12" thickBot="1" x14ac:dyDescent="0.25"/>
    <row r="3" spans="1:5" ht="12" thickBot="1" x14ac:dyDescent="0.25">
      <c r="B3" s="14" t="s">
        <v>1395</v>
      </c>
      <c r="C3" s="436">
        <v>42369</v>
      </c>
      <c r="D3" s="436">
        <v>42004</v>
      </c>
      <c r="E3" s="17" t="s">
        <v>116</v>
      </c>
    </row>
    <row r="4" spans="1:5" x14ac:dyDescent="0.2">
      <c r="A4" s="16" t="s">
        <v>868</v>
      </c>
      <c r="B4" s="1" t="s">
        <v>125</v>
      </c>
      <c r="C4" s="82">
        <f>SUMIF(DATA!R:R,A4,DATA!O:O)</f>
        <v>724143</v>
      </c>
      <c r="D4" s="82">
        <f>SUMIF(DATA!R:R,A4,DATA!N:N)</f>
        <v>582907</v>
      </c>
      <c r="E4" s="28">
        <f>C4-D4</f>
        <v>141236</v>
      </c>
    </row>
    <row r="5" spans="1:5" x14ac:dyDescent="0.2">
      <c r="A5" s="16" t="s">
        <v>871</v>
      </c>
      <c r="B5" s="1" t="s">
        <v>126</v>
      </c>
      <c r="C5" s="82">
        <f>SUMIF(DATA!R:R,A5,DATA!O:O)</f>
        <v>0</v>
      </c>
      <c r="D5" s="82">
        <f>SUMIF(DATA!R:R,A5,DATA!N:N)</f>
        <v>0</v>
      </c>
      <c r="E5" s="28">
        <f t="shared" ref="E5:E6" si="0">C5-D5</f>
        <v>0</v>
      </c>
    </row>
    <row r="6" spans="1:5" ht="12" thickBot="1" x14ac:dyDescent="0.25">
      <c r="A6" s="16" t="s">
        <v>872</v>
      </c>
      <c r="B6" s="1" t="s">
        <v>873</v>
      </c>
      <c r="C6" s="82">
        <f>SUMIF(DATA!R:R,A6,DATA!O:O)</f>
        <v>7224408</v>
      </c>
      <c r="D6" s="82">
        <f>SUMIF(DATA!R:R,A6,DATA!N:N)</f>
        <v>6586064</v>
      </c>
      <c r="E6" s="28">
        <f t="shared" si="0"/>
        <v>638344</v>
      </c>
    </row>
    <row r="7" spans="1:5" ht="12" thickBot="1" x14ac:dyDescent="0.25">
      <c r="B7" s="183" t="s">
        <v>117</v>
      </c>
      <c r="C7" s="12">
        <f>SUM(C4:C6)</f>
        <v>7948551</v>
      </c>
      <c r="D7" s="12">
        <f>SUM(D4:D6)</f>
        <v>7168971</v>
      </c>
      <c r="E7" s="13">
        <f>C7-D7</f>
        <v>779580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I47"/>
  <sheetViews>
    <sheetView workbookViewId="0">
      <selection activeCell="B3" sqref="B3:E45"/>
    </sheetView>
  </sheetViews>
  <sheetFormatPr defaultColWidth="9.125" defaultRowHeight="11.25" x14ac:dyDescent="0.2"/>
  <cols>
    <col min="1" max="1" width="9.125" style="16"/>
    <col min="2" max="2" width="53" style="16" customWidth="1"/>
    <col min="3" max="3" width="5" style="16" hidden="1" customWidth="1"/>
    <col min="4" max="4" width="15.625" style="16" customWidth="1"/>
    <col min="5" max="5" width="14.625" style="16" customWidth="1"/>
    <col min="6" max="6" width="11" style="16" customWidth="1"/>
    <col min="7" max="16384" width="9.125" style="16"/>
  </cols>
  <sheetData>
    <row r="3" spans="1:6" ht="21.75" customHeight="1" thickBot="1" x14ac:dyDescent="0.25">
      <c r="B3" s="592" t="s">
        <v>1452</v>
      </c>
      <c r="C3" s="592"/>
      <c r="D3" s="592"/>
      <c r="E3" s="592"/>
      <c r="F3" s="21"/>
    </row>
    <row r="4" spans="1:6" ht="16.5" thickBot="1" x14ac:dyDescent="0.25">
      <c r="B4" s="590" t="s">
        <v>1393</v>
      </c>
      <c r="C4" s="590" t="s">
        <v>66</v>
      </c>
      <c r="D4" s="531" t="s">
        <v>67</v>
      </c>
      <c r="E4" s="531" t="s">
        <v>67</v>
      </c>
      <c r="F4" s="147" t="s">
        <v>67</v>
      </c>
    </row>
    <row r="5" spans="1:6" ht="16.5" thickBot="1" x14ac:dyDescent="0.25">
      <c r="B5" s="591"/>
      <c r="C5" s="591"/>
      <c r="D5" s="532">
        <v>42369</v>
      </c>
      <c r="E5" s="533">
        <v>42004</v>
      </c>
      <c r="F5" s="148">
        <v>41639</v>
      </c>
    </row>
    <row r="6" spans="1:6" ht="15.75" x14ac:dyDescent="0.2">
      <c r="B6" s="534" t="s">
        <v>68</v>
      </c>
      <c r="C6" s="535"/>
      <c r="D6" s="536"/>
      <c r="E6" s="537"/>
      <c r="F6" s="308"/>
    </row>
    <row r="7" spans="1:6" ht="15.75" x14ac:dyDescent="0.2">
      <c r="B7" s="534" t="s">
        <v>69</v>
      </c>
      <c r="C7" s="535"/>
      <c r="D7" s="536"/>
      <c r="E7" s="537"/>
      <c r="F7" s="308"/>
    </row>
    <row r="8" spans="1:6" ht="15" x14ac:dyDescent="0.2">
      <c r="A8" s="16">
        <v>10</v>
      </c>
      <c r="B8" s="538" t="s">
        <v>119</v>
      </c>
      <c r="C8" s="535"/>
      <c r="D8" s="539">
        <f>SUMIF(DATA!Q:Q,A8,DATA!O:O)</f>
        <v>0</v>
      </c>
      <c r="E8" s="539">
        <f ca="1">SUMIF(DATA!Q:R,A8,DATA!N:N)</f>
        <v>0</v>
      </c>
      <c r="F8" s="309">
        <f>SUMIF(DATA!Q:Q,A8,DATA!M:M)</f>
        <v>0</v>
      </c>
    </row>
    <row r="9" spans="1:6" ht="15" x14ac:dyDescent="0.2">
      <c r="A9" s="16">
        <v>20</v>
      </c>
      <c r="B9" s="538" t="s">
        <v>52</v>
      </c>
      <c r="C9" s="535"/>
      <c r="D9" s="539">
        <f>SUMIF(DATA!Q:Q,A9,DATA!O:O)</f>
        <v>7804</v>
      </c>
      <c r="E9" s="539">
        <f ca="1">SUMIF(DATA!Q:R,A9,DATA!N:N)</f>
        <v>18733</v>
      </c>
      <c r="F9" s="309">
        <f>SUMIF(DATA!Q:Q,A9,DATA!M:M)</f>
        <v>24938.739999999998</v>
      </c>
    </row>
    <row r="10" spans="1:6" ht="15" x14ac:dyDescent="0.2">
      <c r="A10" s="16">
        <v>30</v>
      </c>
      <c r="B10" s="538" t="s">
        <v>1367</v>
      </c>
      <c r="C10" s="540"/>
      <c r="D10" s="539">
        <f>SUMIF(DATA!Q:Q,A10,DATA!O:O)</f>
        <v>14223513.385491358</v>
      </c>
      <c r="E10" s="539">
        <f ca="1">SUMIF(DATA!Q:R,A10,DATA!N:N)</f>
        <v>12348176.146232929</v>
      </c>
      <c r="F10" s="309">
        <f>SUMIF(DATA!Q:Q,A10,DATA!M:M)</f>
        <v>12742000.000000002</v>
      </c>
    </row>
    <row r="11" spans="1:6" ht="15" x14ac:dyDescent="0.2">
      <c r="A11" s="16">
        <v>35</v>
      </c>
      <c r="B11" s="538" t="s">
        <v>1368</v>
      </c>
      <c r="C11" s="540"/>
      <c r="D11" s="539">
        <f>SUMIF(DATA!Q:Q,A11,DATA!O:O)</f>
        <v>2813145.8160333852</v>
      </c>
      <c r="E11" s="539">
        <f ca="1">SUMIF(DATA!Q:R,A11,DATA!N:N)</f>
        <v>4881931.0930166934</v>
      </c>
      <c r="F11" s="309">
        <f>SUMIF(DATA!Q:Q,A11,DATA!M:M)</f>
        <v>2712036.8700000006</v>
      </c>
    </row>
    <row r="12" spans="1:6" ht="15" x14ac:dyDescent="0.2">
      <c r="A12" s="16">
        <v>40</v>
      </c>
      <c r="B12" s="538" t="s">
        <v>852</v>
      </c>
      <c r="C12" s="540"/>
      <c r="D12" s="539">
        <f>SUMIF(DATA!Q:Q,A12,DATA!O:O)</f>
        <v>6004</v>
      </c>
      <c r="E12" s="539">
        <f ca="1">SUMIF(DATA!Q:R,A12,DATA!N:N)</f>
        <v>5704</v>
      </c>
      <c r="F12" s="309">
        <f>SUMIF(DATA!Q:Q,A12,DATA!M:M)</f>
        <v>5454</v>
      </c>
    </row>
    <row r="13" spans="1:6" ht="15" x14ac:dyDescent="0.2">
      <c r="A13" s="16">
        <v>50</v>
      </c>
      <c r="B13" s="538" t="s">
        <v>853</v>
      </c>
      <c r="C13" s="540"/>
      <c r="D13" s="539">
        <f>SUMIF(DATA!Q:Q,A13,DATA!O:O)</f>
        <v>326682.65208964917</v>
      </c>
      <c r="E13" s="539">
        <f ca="1">SUMIF(DATA!Q:R,A13,DATA!N:N)</f>
        <v>388816.31455799326</v>
      </c>
      <c r="F13" s="309">
        <f>SUMIF(DATA!Q:Q,A13,DATA!M:M)</f>
        <v>340574.08806714497</v>
      </c>
    </row>
    <row r="14" spans="1:6" ht="15.75" thickBot="1" x14ac:dyDescent="0.25">
      <c r="A14" s="16">
        <v>60</v>
      </c>
      <c r="B14" s="538" t="s">
        <v>854</v>
      </c>
      <c r="C14" s="535"/>
      <c r="D14" s="539">
        <f>SUMIF(DATA!Q:Q,A14,DATA!O:O)</f>
        <v>4040.22</v>
      </c>
      <c r="E14" s="539">
        <f ca="1">SUMIF(DATA!Q:R,A14,DATA!N:N)</f>
        <v>3519.58</v>
      </c>
      <c r="F14" s="309">
        <f>SUMIF(DATA!Q:Q,A14,DATA!M:M)</f>
        <v>3432.32</v>
      </c>
    </row>
    <row r="15" spans="1:6" ht="16.5" thickBot="1" x14ac:dyDescent="0.25">
      <c r="B15" s="541" t="s">
        <v>71</v>
      </c>
      <c r="C15" s="542"/>
      <c r="D15" s="543">
        <f>SUM(D9:D14)</f>
        <v>17381190.073614389</v>
      </c>
      <c r="E15" s="543">
        <f ca="1">SUM(E9:E14)</f>
        <v>17646880.133807614</v>
      </c>
      <c r="F15" s="310">
        <f>SUM(F9:F14)</f>
        <v>15828436.018067148</v>
      </c>
    </row>
    <row r="16" spans="1:6" ht="16.5" thickTop="1" x14ac:dyDescent="0.2">
      <c r="B16" s="534" t="s">
        <v>72</v>
      </c>
      <c r="C16" s="535"/>
      <c r="D16" s="544"/>
      <c r="E16" s="545"/>
      <c r="F16" s="311"/>
    </row>
    <row r="17" spans="1:8" ht="15" x14ac:dyDescent="0.2">
      <c r="A17" s="16">
        <v>70</v>
      </c>
      <c r="B17" s="538" t="s">
        <v>73</v>
      </c>
      <c r="C17" s="540"/>
      <c r="D17" s="539">
        <f>SUMIF(DATA!Q:Q,A17,DATA!O:O)</f>
        <v>7948551</v>
      </c>
      <c r="E17" s="539">
        <f ca="1">SUMIF(DATA!Q:R,A17,DATA!N:N)</f>
        <v>7168971</v>
      </c>
      <c r="F17" s="309">
        <f>SUMIF(DATA!Q:Q,A17,DATA!M:M)</f>
        <v>6776070</v>
      </c>
    </row>
    <row r="18" spans="1:8" ht="15" x14ac:dyDescent="0.2">
      <c r="A18" s="16">
        <v>90</v>
      </c>
      <c r="B18" s="538" t="s">
        <v>855</v>
      </c>
      <c r="C18" s="540"/>
      <c r="D18" s="539">
        <f>SUMIF(DATA!Q:Q,A18,DATA!O:O)</f>
        <v>9511336.8800000008</v>
      </c>
      <c r="E18" s="539">
        <f ca="1">SUMIF(DATA!Q:R,A18,DATA!N:N)</f>
        <v>8833620.6700000018</v>
      </c>
      <c r="F18" s="309">
        <f>SUMIF(DATA!Q:Q,A18,DATA!M:M)</f>
        <v>8467642.8500000015</v>
      </c>
    </row>
    <row r="19" spans="1:8" ht="15" x14ac:dyDescent="0.2">
      <c r="A19" s="16">
        <v>80</v>
      </c>
      <c r="B19" s="538" t="s">
        <v>130</v>
      </c>
      <c r="C19" s="540"/>
      <c r="D19" s="539">
        <f>SUMIF(DATA!Q:Q,A19,DATA!O:O)</f>
        <v>59926.91</v>
      </c>
      <c r="E19" s="539">
        <f ca="1">SUMIF(DATA!Q:R,A19,DATA!N:N)</f>
        <v>340458.07000000007</v>
      </c>
      <c r="F19" s="309">
        <f>SUMIF(DATA!Q:Q,A19,DATA!M:M)</f>
        <v>379974.45999999996</v>
      </c>
    </row>
    <row r="20" spans="1:8" ht="15" x14ac:dyDescent="0.2">
      <c r="A20" s="16">
        <v>100</v>
      </c>
      <c r="B20" s="538" t="s">
        <v>70</v>
      </c>
      <c r="C20" s="540"/>
      <c r="D20" s="539">
        <f>SUMIF(DATA!Q:Q,A20,DATA!O:O)</f>
        <v>2451851.6599999997</v>
      </c>
      <c r="E20" s="539">
        <f ca="1">SUMIF(DATA!Q:R,A20,DATA!N:N)</f>
        <v>2439914.7099999995</v>
      </c>
      <c r="F20" s="309">
        <f>SUMIF(DATA!Q:Q,A20,DATA!M:M)</f>
        <v>2025736.1700000002</v>
      </c>
    </row>
    <row r="21" spans="1:8" ht="15.75" thickBot="1" x14ac:dyDescent="0.25">
      <c r="A21" s="16">
        <v>110</v>
      </c>
      <c r="B21" s="538" t="s">
        <v>856</v>
      </c>
      <c r="C21" s="540"/>
      <c r="D21" s="539">
        <f>SUMIF(DATA!Q:Q,A21,DATA!O:O)</f>
        <v>291779.1999999999</v>
      </c>
      <c r="E21" s="539">
        <f ca="1">SUMIF(DATA!Q:R,A21,DATA!N:N)</f>
        <v>1269251.43</v>
      </c>
      <c r="F21" s="309">
        <f>SUMIF(DATA!Q:Q,A21,DATA!M:M)+81014</f>
        <v>543540.46</v>
      </c>
    </row>
    <row r="22" spans="1:8" ht="16.5" thickBot="1" x14ac:dyDescent="0.25">
      <c r="B22" s="541" t="s">
        <v>74</v>
      </c>
      <c r="C22" s="542"/>
      <c r="D22" s="543">
        <f>SUM(D17:D21)</f>
        <v>20263445.650000002</v>
      </c>
      <c r="E22" s="543">
        <f ca="1">SUM(E17:E21)</f>
        <v>20052215.880000003</v>
      </c>
      <c r="F22" s="310">
        <f>SUM(F17:F21)</f>
        <v>18192963.940000005</v>
      </c>
    </row>
    <row r="23" spans="1:8" ht="3.75" customHeight="1" thickTop="1" thickBot="1" x14ac:dyDescent="0.25">
      <c r="B23" s="538"/>
      <c r="C23" s="535"/>
      <c r="D23" s="544"/>
      <c r="E23" s="546"/>
      <c r="F23" s="312"/>
    </row>
    <row r="24" spans="1:8" ht="16.5" thickBot="1" x14ac:dyDescent="0.25">
      <c r="B24" s="541" t="s">
        <v>75</v>
      </c>
      <c r="C24" s="542"/>
      <c r="D24" s="543">
        <f>D22+D15</f>
        <v>37644635.723614395</v>
      </c>
      <c r="E24" s="543">
        <f ca="1">E22+E15</f>
        <v>37699096.013807617</v>
      </c>
      <c r="F24" s="310">
        <f>F22+F15</f>
        <v>34021399.958067149</v>
      </c>
      <c r="G24" s="20"/>
    </row>
    <row r="25" spans="1:8" ht="3.75" customHeight="1" thickTop="1" x14ac:dyDescent="0.2">
      <c r="B25" s="534"/>
      <c r="C25" s="535"/>
      <c r="D25" s="544"/>
      <c r="E25" s="545"/>
      <c r="F25" s="311"/>
    </row>
    <row r="26" spans="1:8" ht="15.75" x14ac:dyDescent="0.2">
      <c r="B26" s="534" t="s">
        <v>76</v>
      </c>
      <c r="C26" s="535"/>
      <c r="D26" s="544"/>
      <c r="E26" s="545"/>
      <c r="F26" s="311"/>
    </row>
    <row r="27" spans="1:8" ht="15.75" x14ac:dyDescent="0.2">
      <c r="B27" s="534" t="s">
        <v>77</v>
      </c>
      <c r="C27" s="535"/>
      <c r="D27" s="544"/>
      <c r="E27" s="546"/>
      <c r="F27" s="312"/>
    </row>
    <row r="28" spans="1:8" ht="15" x14ac:dyDescent="0.2">
      <c r="A28" s="16">
        <v>120</v>
      </c>
      <c r="B28" s="538" t="s">
        <v>62</v>
      </c>
      <c r="C28" s="535"/>
      <c r="D28" s="539">
        <f>-(SUMIF(DATA!Q:Q,A28,DATA!O:O))</f>
        <v>5300000</v>
      </c>
      <c r="E28" s="539">
        <f ca="1">-(SUMIF(DATA!Q:R,A28,DATA!N:N))</f>
        <v>5300000</v>
      </c>
      <c r="F28" s="309">
        <f>-(SUMIF(DATA!Q:Q,A28,DATA!M:M))</f>
        <v>5300000</v>
      </c>
      <c r="H28" s="20"/>
    </row>
    <row r="29" spans="1:8" ht="15" x14ac:dyDescent="0.2">
      <c r="A29" s="16">
        <v>130</v>
      </c>
      <c r="B29" s="538" t="s">
        <v>78</v>
      </c>
      <c r="C29" s="535"/>
      <c r="D29" s="539">
        <f>-(SUMIF(DATA!Q:Q,A29,DATA!O:O))</f>
        <v>-512143.88029141416</v>
      </c>
      <c r="E29" s="539">
        <f ca="1">-(SUMIF(DATA!Q:R,A29,DATA!N:N))</f>
        <v>-311402.6166065014</v>
      </c>
      <c r="F29" s="309">
        <f>-(SUMIF(DATA!Q:Q,A29,DATA!M:M))</f>
        <v>-363699.6166065014</v>
      </c>
      <c r="H29" s="202"/>
    </row>
    <row r="30" spans="1:8" ht="15.75" thickBot="1" x14ac:dyDescent="0.25">
      <c r="A30" s="16" t="s">
        <v>862</v>
      </c>
      <c r="B30" s="547" t="s">
        <v>857</v>
      </c>
      <c r="C30" s="548"/>
      <c r="D30" s="549">
        <f>(SUMIF(DATA!F:F,A30,DATA!O:O))</f>
        <v>150098.33363902569</v>
      </c>
      <c r="E30" s="549">
        <f>(SUMIF(DATA!F:F,A30,DATA!N:N))</f>
        <v>-200738.04368493997</v>
      </c>
      <c r="F30" s="313">
        <f ca="1">(SUMIF(DATA!F:R,A30,DATA!M:M))</f>
        <v>52296.990000001097</v>
      </c>
    </row>
    <row r="31" spans="1:8" ht="16.5" thickBot="1" x14ac:dyDescent="0.25">
      <c r="B31" s="550" t="s">
        <v>79</v>
      </c>
      <c r="C31" s="551"/>
      <c r="D31" s="552">
        <f>SUM(D28:D30)</f>
        <v>4937954.4533476112</v>
      </c>
      <c r="E31" s="552">
        <f ca="1">SUM(E28:E30)</f>
        <v>4787859.3397085583</v>
      </c>
      <c r="F31" s="314">
        <f ca="1">SUM(F28:F30)</f>
        <v>4988597.3733934993</v>
      </c>
    </row>
    <row r="32" spans="1:8" ht="16.5" thickTop="1" x14ac:dyDescent="0.2">
      <c r="B32" s="534" t="s">
        <v>80</v>
      </c>
      <c r="C32" s="535"/>
      <c r="D32" s="544"/>
      <c r="E32" s="546"/>
      <c r="F32" s="312"/>
    </row>
    <row r="33" spans="1:9" ht="15" x14ac:dyDescent="0.2">
      <c r="A33" s="16">
        <v>140</v>
      </c>
      <c r="B33" s="538" t="s">
        <v>81</v>
      </c>
      <c r="C33" s="540"/>
      <c r="D33" s="539">
        <f>-(SUMIF(DATA!Q:Q,A33,DATA!O:O))</f>
        <v>292053.73</v>
      </c>
      <c r="E33" s="539">
        <f ca="1">-(SUMIF(DATA!Q:R,A33,DATA!N:N))</f>
        <v>215171.64</v>
      </c>
      <c r="F33" s="309">
        <f>-(SUMIF(DATA!Q:Q,A33,DATA!M:M))</f>
        <v>228211.83</v>
      </c>
      <c r="H33" s="215"/>
    </row>
    <row r="34" spans="1:9" ht="15" x14ac:dyDescent="0.2">
      <c r="A34" s="16">
        <v>150</v>
      </c>
      <c r="B34" s="538" t="s">
        <v>82</v>
      </c>
      <c r="C34" s="540"/>
      <c r="D34" s="539">
        <f>-(SUMIF(DATA!Q:Q,A34,DATA!O:O))</f>
        <v>975811.2</v>
      </c>
      <c r="E34" s="539">
        <f ca="1">-(SUMIF(DATA!Q:R,A34,DATA!N:N))</f>
        <v>945902.23</v>
      </c>
      <c r="F34" s="309">
        <f>-(SUMIF(DATA!Q:Q,A34,DATA!M:M))</f>
        <v>862191.48</v>
      </c>
      <c r="H34" s="215"/>
    </row>
    <row r="35" spans="1:9" ht="15" x14ac:dyDescent="0.2">
      <c r="A35" s="16">
        <v>170</v>
      </c>
      <c r="B35" s="538" t="s">
        <v>84</v>
      </c>
      <c r="C35" s="540"/>
      <c r="D35" s="539">
        <f>-(SUMIF(DATA!Q:Q,A35,DATA!O:O))</f>
        <v>2589081.471651182</v>
      </c>
      <c r="E35" s="539">
        <f ca="1">-(SUMIF(DATA!Q:R,A35,DATA!N:N))</f>
        <v>2999817.7793371407</v>
      </c>
      <c r="F35" s="309">
        <f>-(SUMIF(DATA!Q:Q,A35,DATA!M:M))</f>
        <v>3070728.2806699998</v>
      </c>
    </row>
    <row r="36" spans="1:9" ht="15.75" thickBot="1" x14ac:dyDescent="0.25">
      <c r="A36" s="16">
        <v>160</v>
      </c>
      <c r="B36" s="538" t="s">
        <v>858</v>
      </c>
      <c r="C36" s="540"/>
      <c r="D36" s="539">
        <f>-(SUMIF(DATA!Q:Q,A36,DATA!O:O))</f>
        <v>4560070.34</v>
      </c>
      <c r="E36" s="539">
        <f ca="1">-(SUMIF(DATA!Q:R,A36,DATA!N:N))</f>
        <v>5146622.0099999988</v>
      </c>
      <c r="F36" s="309">
        <f>-(SUMIF(DATA!Q:Q,A36,DATA!M:M))</f>
        <v>4002423.49</v>
      </c>
    </row>
    <row r="37" spans="1:9" ht="16.5" thickBot="1" x14ac:dyDescent="0.25">
      <c r="B37" s="541" t="s">
        <v>85</v>
      </c>
      <c r="C37" s="542"/>
      <c r="D37" s="543">
        <f>SUM(D33:D36)</f>
        <v>8417016.7416511811</v>
      </c>
      <c r="E37" s="543">
        <f ca="1">SUM(E33:E36)</f>
        <v>9307513.6593371406</v>
      </c>
      <c r="F37" s="310">
        <f>SUM(F33:F36)</f>
        <v>8163555.0806700001</v>
      </c>
      <c r="H37" s="215"/>
      <c r="I37" s="215"/>
    </row>
    <row r="38" spans="1:9" ht="16.5" thickTop="1" x14ac:dyDescent="0.2">
      <c r="B38" s="534" t="s">
        <v>86</v>
      </c>
      <c r="C38" s="535"/>
      <c r="D38" s="544"/>
      <c r="E38" s="546"/>
      <c r="F38" s="312"/>
    </row>
    <row r="39" spans="1:9" ht="15" x14ac:dyDescent="0.2">
      <c r="A39" s="16">
        <v>190</v>
      </c>
      <c r="B39" s="538" t="s">
        <v>859</v>
      </c>
      <c r="C39" s="540"/>
      <c r="D39" s="539">
        <f>-(SUMIF(DATA!Q:Q,A39,DATA!O:O))</f>
        <v>10866101.67</v>
      </c>
      <c r="E39" s="539">
        <f ca="1">-(SUMIF(DATA!Q:R,A39,DATA!N:N))</f>
        <v>11322163.42</v>
      </c>
      <c r="F39" s="309">
        <f>-(SUMIF(DATA!Q:Q,A39,DATA!M:M))</f>
        <v>9278650.3300000001</v>
      </c>
    </row>
    <row r="40" spans="1:9" ht="15" x14ac:dyDescent="0.2">
      <c r="A40" s="16">
        <v>220</v>
      </c>
      <c r="B40" s="538" t="s">
        <v>180</v>
      </c>
      <c r="C40" s="540"/>
      <c r="D40" s="539">
        <f>-(SUMIF(DATA!Q:Q,A40,DATA!O:O))</f>
        <v>1145462.7000000002</v>
      </c>
      <c r="E40" s="539">
        <f ca="1">-(SUMIF(DATA!Q:R,A40,DATA!N:N))</f>
        <v>892177.54999999993</v>
      </c>
      <c r="F40" s="309">
        <f>-(SUMIF(DATA!Q:Q,A40,DATA!M:M))</f>
        <v>927105.95000000007</v>
      </c>
    </row>
    <row r="41" spans="1:9" ht="15" x14ac:dyDescent="0.2">
      <c r="A41" s="16">
        <v>200</v>
      </c>
      <c r="B41" s="538" t="s">
        <v>860</v>
      </c>
      <c r="C41" s="540"/>
      <c r="D41" s="539">
        <f>-(SUMIF(DATA!Q:Q,A41,DATA!O:O))</f>
        <v>2289094.1036155839</v>
      </c>
      <c r="E41" s="539">
        <f ca="1">-(SUMIF(DATA!Q:R,A41,DATA!N:N))</f>
        <v>2641438.6647618944</v>
      </c>
      <c r="F41" s="309">
        <f>-(SUMIF(DATA!Q:Q,A41,DATA!M:M))</f>
        <v>2741956.3440036466</v>
      </c>
    </row>
    <row r="42" spans="1:9" ht="15.75" thickBot="1" x14ac:dyDescent="0.25">
      <c r="A42" s="16">
        <v>210</v>
      </c>
      <c r="B42" s="538" t="s">
        <v>83</v>
      </c>
      <c r="C42" s="540"/>
      <c r="D42" s="539">
        <f>-(SUMIF(DATA!Q:Q,A42,DATA!O:O))</f>
        <v>9989006.0550000034</v>
      </c>
      <c r="E42" s="539">
        <f ca="1">-(SUMIF(DATA!Q:R,A42,DATA!N:N))</f>
        <v>8747943.3800000008</v>
      </c>
      <c r="F42" s="309">
        <f>-(SUMIF(DATA!Q:Q,A42,DATA!M:M))+81014</f>
        <v>7921534.8799999999</v>
      </c>
    </row>
    <row r="43" spans="1:9" ht="16.5" thickBot="1" x14ac:dyDescent="0.25">
      <c r="B43" s="541" t="s">
        <v>87</v>
      </c>
      <c r="C43" s="542"/>
      <c r="D43" s="543">
        <f>SUM(D39:D42)</f>
        <v>24289664.528615586</v>
      </c>
      <c r="E43" s="543">
        <f ca="1">SUM(E39:E42)</f>
        <v>23603723.014761895</v>
      </c>
      <c r="F43" s="310">
        <f>SUM(F39:F42)</f>
        <v>20869247.504003644</v>
      </c>
    </row>
    <row r="44" spans="1:9" ht="3.75" customHeight="1" thickTop="1" thickBot="1" x14ac:dyDescent="0.25">
      <c r="B44" s="547"/>
      <c r="C44" s="548"/>
      <c r="D44" s="553"/>
      <c r="E44" s="554"/>
      <c r="F44" s="315"/>
    </row>
    <row r="45" spans="1:9" ht="16.5" thickBot="1" x14ac:dyDescent="0.25">
      <c r="B45" s="555" t="s">
        <v>88</v>
      </c>
      <c r="C45" s="556"/>
      <c r="D45" s="557">
        <f>D43+D37+D31</f>
        <v>37644635.72361438</v>
      </c>
      <c r="E45" s="557">
        <f ca="1">E43+E37+E31</f>
        <v>37699096.013807595</v>
      </c>
      <c r="F45" s="316">
        <f ca="1">F43+F37+F31</f>
        <v>34021399.958067141</v>
      </c>
    </row>
    <row r="47" spans="1:9" x14ac:dyDescent="0.2">
      <c r="C47" s="16" t="s">
        <v>861</v>
      </c>
      <c r="D47" s="20">
        <f>D45-D24</f>
        <v>0</v>
      </c>
      <c r="E47" s="20">
        <f ca="1">E45-E24</f>
        <v>0</v>
      </c>
      <c r="F47" s="20">
        <f ca="1">F45-F24</f>
        <v>0</v>
      </c>
    </row>
  </sheetData>
  <mergeCells count="3">
    <mergeCell ref="B4:B5"/>
    <mergeCell ref="C4:C5"/>
    <mergeCell ref="B3:E3"/>
  </mergeCells>
  <pageMargins left="0.7" right="0.7" top="0.75" bottom="0.75" header="0.3" footer="0.3"/>
  <pageSetup paperSize="9"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6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2" spans="1:5" ht="12" thickBot="1" x14ac:dyDescent="0.25"/>
    <row r="3" spans="1:5" ht="12" thickBot="1" x14ac:dyDescent="0.25">
      <c r="B3" s="14" t="s">
        <v>1395</v>
      </c>
      <c r="C3" s="436">
        <v>42369</v>
      </c>
      <c r="D3" s="436">
        <v>42004</v>
      </c>
      <c r="E3" s="17" t="s">
        <v>116</v>
      </c>
    </row>
    <row r="4" spans="1:5" x14ac:dyDescent="0.2">
      <c r="A4" s="16" t="s">
        <v>885</v>
      </c>
      <c r="B4" s="1" t="s">
        <v>131</v>
      </c>
      <c r="C4" s="10">
        <f>SUMIF(DATA!R:R,A4,DATA!O:O)</f>
        <v>256150.59</v>
      </c>
      <c r="D4" s="10">
        <f>SUMIF(DATA!R:R,A4,DATA!N:N)</f>
        <v>1245975.55</v>
      </c>
      <c r="E4" s="22">
        <f>C4-D4</f>
        <v>-989824.96000000008</v>
      </c>
    </row>
    <row r="5" spans="1:5" ht="12" thickBot="1" x14ac:dyDescent="0.25">
      <c r="A5" s="16" t="s">
        <v>886</v>
      </c>
      <c r="B5" s="1" t="s">
        <v>5</v>
      </c>
      <c r="C5" s="10">
        <f>SUMIF(DATA!R:R,A5,DATA!O:O)</f>
        <v>35628.61</v>
      </c>
      <c r="D5" s="10">
        <f>SUMIF(DATA!R:R,A5,DATA!N:N)</f>
        <v>23275.88</v>
      </c>
      <c r="E5" s="22">
        <f>C5-D5</f>
        <v>12352.73</v>
      </c>
    </row>
    <row r="6" spans="1:5" ht="12" thickBot="1" x14ac:dyDescent="0.25">
      <c r="B6" s="11" t="s">
        <v>117</v>
      </c>
      <c r="C6" s="12">
        <f>SUM(C4:C5)</f>
        <v>291779.20000000001</v>
      </c>
      <c r="D6" s="12">
        <f>SUM(D4:D5)</f>
        <v>1269251.43</v>
      </c>
      <c r="E6" s="13">
        <f>SUM(E4:E5)</f>
        <v>-977472.2300000001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5"/>
  <sheetViews>
    <sheetView workbookViewId="0">
      <selection activeCell="B3" sqref="B3:E5"/>
    </sheetView>
  </sheetViews>
  <sheetFormatPr defaultRowHeight="15" x14ac:dyDescent="0.25"/>
  <cols>
    <col min="2" max="2" width="50.25" customWidth="1"/>
    <col min="3" max="5" width="14.125" customWidth="1"/>
  </cols>
  <sheetData>
    <row r="2" spans="1:5" ht="15.75" thickBot="1" x14ac:dyDescent="0.3"/>
    <row r="3" spans="1:5" ht="15.75" thickBot="1" x14ac:dyDescent="0.3">
      <c r="B3" s="14" t="s">
        <v>1395</v>
      </c>
      <c r="C3" s="436">
        <v>42369</v>
      </c>
      <c r="D3" s="436">
        <v>42004</v>
      </c>
      <c r="E3" s="17" t="s">
        <v>116</v>
      </c>
    </row>
    <row r="4" spans="1:5" ht="15.75" thickBot="1" x14ac:dyDescent="0.3">
      <c r="A4" t="s">
        <v>878</v>
      </c>
      <c r="B4" s="1" t="s">
        <v>127</v>
      </c>
      <c r="C4" s="82">
        <f>SUMIF(DATA!R:R,A4,DATA!O:O)</f>
        <v>6004</v>
      </c>
      <c r="D4" s="82">
        <f>SUMIF(DATA!R:R,A4,DATA!N:N)</f>
        <v>5704</v>
      </c>
      <c r="E4" s="28">
        <f>C4-D4</f>
        <v>300</v>
      </c>
    </row>
    <row r="5" spans="1:5" ht="15.75" thickBot="1" x14ac:dyDescent="0.3">
      <c r="B5" s="183" t="s">
        <v>117</v>
      </c>
      <c r="C5" s="83">
        <f>SUM(C4:C4)</f>
        <v>6004</v>
      </c>
      <c r="D5" s="83">
        <f>SUM(D4:D4)</f>
        <v>5704</v>
      </c>
      <c r="E5" s="84">
        <f>C5-D5</f>
        <v>300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16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17" t="s">
        <v>116</v>
      </c>
    </row>
    <row r="5" spans="1:5" x14ac:dyDescent="0.2">
      <c r="A5" s="16">
        <v>120</v>
      </c>
      <c r="B5" s="1" t="s">
        <v>62</v>
      </c>
      <c r="C5" s="212">
        <f>SUMIF(DATA!Q:Q,A5,DATA!O:O)</f>
        <v>-5300000</v>
      </c>
      <c r="D5" s="212">
        <f>SUMIF(DATA!Q:Q,A5,DATA!N:N)</f>
        <v>-5300000</v>
      </c>
      <c r="E5" s="225">
        <f>C5-D5</f>
        <v>0</v>
      </c>
    </row>
    <row r="6" spans="1:5" x14ac:dyDescent="0.2">
      <c r="A6" s="16">
        <v>130</v>
      </c>
      <c r="B6" s="1" t="s">
        <v>132</v>
      </c>
      <c r="C6" s="212">
        <f>SUMIF(DATA!Q:Q,A6,DATA!O:O)</f>
        <v>512143.88029141416</v>
      </c>
      <c r="D6" s="212">
        <f>SUMIF(DATA!Q:Q,A6,DATA!N:N)</f>
        <v>311402.6166065014</v>
      </c>
      <c r="E6" s="225">
        <f t="shared" ref="E6:E7" si="0">C6-D6</f>
        <v>200741.26368491276</v>
      </c>
    </row>
    <row r="7" spans="1:5" ht="12" thickBot="1" x14ac:dyDescent="0.25">
      <c r="B7" s="1" t="s">
        <v>887</v>
      </c>
      <c r="C7" s="212">
        <f>-'situazione patrimoniale finanzi'!D30</f>
        <v>-150098.33363902569</v>
      </c>
      <c r="D7" s="212">
        <f>-'situazione patrimoniale finanzi'!E30</f>
        <v>200738.04368493997</v>
      </c>
      <c r="E7" s="225">
        <f t="shared" si="0"/>
        <v>-350836.37732396566</v>
      </c>
    </row>
    <row r="8" spans="1:5" ht="12" thickBot="1" x14ac:dyDescent="0.25">
      <c r="B8" s="81" t="s">
        <v>117</v>
      </c>
      <c r="C8" s="226">
        <f>SUM(C5:C7)</f>
        <v>-4937954.4533476112</v>
      </c>
      <c r="D8" s="226">
        <f>SUM(D5:D7)</f>
        <v>-4787859.3397085583</v>
      </c>
      <c r="E8" s="227">
        <f>SUM(E5:E7)</f>
        <v>-150095.1136390529</v>
      </c>
    </row>
    <row r="9" spans="1:5" x14ac:dyDescent="0.2">
      <c r="C9" s="215"/>
      <c r="D9" s="215"/>
      <c r="E9" s="215"/>
    </row>
    <row r="10" spans="1:5" ht="12" thickBot="1" x14ac:dyDescent="0.25">
      <c r="C10" s="215"/>
      <c r="D10" s="215"/>
      <c r="E10" s="215"/>
    </row>
    <row r="11" spans="1:5" ht="12" thickBot="1" x14ac:dyDescent="0.25">
      <c r="B11" s="14" t="s">
        <v>1395</v>
      </c>
      <c r="C11" s="436">
        <v>42369</v>
      </c>
      <c r="D11" s="436">
        <v>42004</v>
      </c>
      <c r="E11" s="227" t="s">
        <v>116</v>
      </c>
    </row>
    <row r="12" spans="1:5" x14ac:dyDescent="0.2">
      <c r="A12" s="16" t="s">
        <v>888</v>
      </c>
      <c r="B12" s="1" t="s">
        <v>399</v>
      </c>
      <c r="C12" s="212">
        <f>SUMIF(DATA!R:R,A12,DATA!O:O)</f>
        <v>-35125.1</v>
      </c>
      <c r="D12" s="212">
        <f>SUMIF(DATA!R:R,A12,DATA!N:N)</f>
        <v>-31060.1</v>
      </c>
      <c r="E12" s="225">
        <f>C12-D12</f>
        <v>-4065</v>
      </c>
    </row>
    <row r="13" spans="1:5" x14ac:dyDescent="0.2">
      <c r="A13" s="16" t="s">
        <v>890</v>
      </c>
      <c r="B13" s="1" t="s">
        <v>132</v>
      </c>
      <c r="C13" s="212">
        <f>SUMIF(DATA!R:R,A13,DATA!O:O)</f>
        <v>-385348.45631508721</v>
      </c>
      <c r="D13" s="212">
        <f>SUMIF(DATA!R:R,A13,DATA!N:N)</f>
        <v>-590154.72</v>
      </c>
      <c r="E13" s="225">
        <f t="shared" ref="E13" si="1">C13-D13</f>
        <v>204806.26368491276</v>
      </c>
    </row>
    <row r="14" spans="1:5" x14ac:dyDescent="0.2">
      <c r="A14" s="16" t="s">
        <v>891</v>
      </c>
      <c r="B14" s="1" t="s">
        <v>1312</v>
      </c>
      <c r="C14" s="212">
        <f>SUMIF(DATA!R:R,A14,DATA!O:O)</f>
        <v>932617.43660650135</v>
      </c>
      <c r="D14" s="212">
        <f>SUMIF(DATA!R:R,A14,DATA!N:N)</f>
        <v>932617.43660650135</v>
      </c>
      <c r="E14" s="225">
        <f t="shared" ref="E14:E15" si="2">C14-D14</f>
        <v>0</v>
      </c>
    </row>
    <row r="15" spans="1:5" ht="12" thickBot="1" x14ac:dyDescent="0.25">
      <c r="A15" s="16" t="s">
        <v>892</v>
      </c>
      <c r="B15" s="1"/>
      <c r="C15" s="212">
        <f>SUMIF(DATA!R:R,A15,DATA!O:O)</f>
        <v>0</v>
      </c>
      <c r="D15" s="212">
        <f>SUMIF(DATA!R:R,A15,DATA!N:N)</f>
        <v>0</v>
      </c>
      <c r="E15" s="225">
        <f t="shared" si="2"/>
        <v>0</v>
      </c>
    </row>
    <row r="16" spans="1:5" ht="12" thickBot="1" x14ac:dyDescent="0.25">
      <c r="B16" s="81" t="s">
        <v>117</v>
      </c>
      <c r="C16" s="226">
        <f>SUM(C12:C15)</f>
        <v>512143.88029141416</v>
      </c>
      <c r="D16" s="226">
        <f>SUM(D12:D15)</f>
        <v>311402.6166065014</v>
      </c>
      <c r="E16" s="227">
        <f>SUM(E12:E15)</f>
        <v>200741.26368491276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7"/>
  <sheetViews>
    <sheetView topLeftCell="A3"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17" t="s">
        <v>116</v>
      </c>
    </row>
    <row r="5" spans="1:5" x14ac:dyDescent="0.2">
      <c r="A5" s="16" t="s">
        <v>914</v>
      </c>
      <c r="B5" s="1" t="s">
        <v>893</v>
      </c>
      <c r="C5" s="212">
        <f>SUMIF(DATA!R:R,A5,DATA!O:O)</f>
        <v>-235786.88</v>
      </c>
      <c r="D5" s="212">
        <f>SUMIF(DATA!R:R,A5,DATA!N:N)</f>
        <v>-215171.64</v>
      </c>
      <c r="E5" s="225">
        <f>C5-D5</f>
        <v>-20615.239999999991</v>
      </c>
    </row>
    <row r="6" spans="1:5" ht="12" thickBot="1" x14ac:dyDescent="0.25">
      <c r="A6" s="16" t="s">
        <v>1354</v>
      </c>
      <c r="B6" s="1" t="s">
        <v>1355</v>
      </c>
      <c r="C6" s="212">
        <f>SUMIF(DATA!R:R,A6,DATA!O:O)</f>
        <v>-56266.85</v>
      </c>
      <c r="D6" s="212">
        <f>SUMIF(DATA!R:R,A6,DATA!N:N)</f>
        <v>0</v>
      </c>
      <c r="E6" s="225">
        <f>C6-D6</f>
        <v>-56266.85</v>
      </c>
    </row>
    <row r="7" spans="1:5" ht="12" thickBot="1" x14ac:dyDescent="0.25">
      <c r="B7" s="81" t="s">
        <v>117</v>
      </c>
      <c r="C7" s="226">
        <f>SUM(C5:C5)</f>
        <v>-235786.88</v>
      </c>
      <c r="D7" s="226">
        <f>SUM(D5:D5)</f>
        <v>-215171.64</v>
      </c>
      <c r="E7" s="227">
        <f>SUM(E5:E5)</f>
        <v>-20615.239999999991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E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5" spans="1:5" ht="12" thickBot="1" x14ac:dyDescent="0.25"/>
    <row r="6" spans="1:5" ht="12" thickBot="1" x14ac:dyDescent="0.25">
      <c r="B6" s="14" t="s">
        <v>1395</v>
      </c>
      <c r="C6" s="436">
        <v>42369</v>
      </c>
      <c r="D6" s="436">
        <v>42004</v>
      </c>
      <c r="E6" s="17" t="s">
        <v>116</v>
      </c>
    </row>
    <row r="7" spans="1:5" ht="12" thickBot="1" x14ac:dyDescent="0.25">
      <c r="A7" s="16" t="s">
        <v>894</v>
      </c>
      <c r="B7" s="1" t="s">
        <v>895</v>
      </c>
      <c r="C7" s="212">
        <f>SUMIF(DATA!R:R,A7,DATA!O:O)</f>
        <v>-975811.2</v>
      </c>
      <c r="D7" s="212">
        <f>SUMIF(DATA!R:R,A7,DATA!N:N)</f>
        <v>-945902.23</v>
      </c>
      <c r="E7" s="225">
        <f>C7-D7</f>
        <v>-29908.969999999972</v>
      </c>
    </row>
    <row r="8" spans="1:5" ht="12" thickBot="1" x14ac:dyDescent="0.25">
      <c r="B8" s="81" t="s">
        <v>117</v>
      </c>
      <c r="C8" s="226">
        <f>SUM(C7:C7)</f>
        <v>-975811.2</v>
      </c>
      <c r="D8" s="226">
        <f>SUM(D7:D7)</f>
        <v>-945902.23</v>
      </c>
      <c r="E8" s="227">
        <f>SUM(E7:E7)</f>
        <v>-29908.969999999972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85" t="s">
        <v>116</v>
      </c>
    </row>
    <row r="5" spans="1:5" x14ac:dyDescent="0.2">
      <c r="A5" s="16" t="s">
        <v>896</v>
      </c>
      <c r="B5" s="3" t="s">
        <v>133</v>
      </c>
      <c r="C5" s="220">
        <f>SUMIF(DATA!R:R,A5,DATA!O:O)</f>
        <v>-4463436.45</v>
      </c>
      <c r="D5" s="220">
        <f>SUMIF(DATA!R:R,A5,DATA!N:N)</f>
        <v>-5134893.9999999991</v>
      </c>
      <c r="E5" s="221">
        <f>C5-D5</f>
        <v>671457.54999999888</v>
      </c>
    </row>
    <row r="6" spans="1:5" x14ac:dyDescent="0.2">
      <c r="A6" s="16" t="s">
        <v>897</v>
      </c>
      <c r="B6" s="1" t="s">
        <v>898</v>
      </c>
      <c r="C6" s="212">
        <f>SUMIF(DATA!R:R,A6,DATA!O:O)</f>
        <v>-96633.889999999985</v>
      </c>
      <c r="D6" s="212">
        <f>SUMIF(DATA!R:R,A6,DATA!N:N)</f>
        <v>-11728.01</v>
      </c>
      <c r="E6" s="222">
        <f>C6-D6</f>
        <v>-84905.87999999999</v>
      </c>
    </row>
    <row r="7" spans="1:5" ht="12" thickBot="1" x14ac:dyDescent="0.25">
      <c r="A7" s="16" t="s">
        <v>899</v>
      </c>
      <c r="B7" s="4" t="s">
        <v>134</v>
      </c>
      <c r="C7" s="229">
        <f>SUMIF(DATA!R:R,A7,DATA!O:O)</f>
        <v>0</v>
      </c>
      <c r="D7" s="229">
        <f>SUMIF(DATA!R:R,A7,DATA!N:N)</f>
        <v>0</v>
      </c>
      <c r="E7" s="230">
        <f>C7-D7</f>
        <v>0</v>
      </c>
    </row>
    <row r="8" spans="1:5" ht="12" thickBot="1" x14ac:dyDescent="0.25">
      <c r="B8" s="40" t="s">
        <v>117</v>
      </c>
      <c r="C8" s="223">
        <f>SUM(C5:C7)</f>
        <v>-4560070.34</v>
      </c>
      <c r="D8" s="223">
        <f>SUM(D5:D7)</f>
        <v>-5146622.0099999988</v>
      </c>
      <c r="E8" s="224">
        <f>SUM(E5:E7)</f>
        <v>586551.66999999888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2:P33"/>
  <sheetViews>
    <sheetView topLeftCell="A7" workbookViewId="0">
      <selection activeCell="N30" sqref="M30:P33"/>
    </sheetView>
  </sheetViews>
  <sheetFormatPr defaultColWidth="9.125" defaultRowHeight="11.25" x14ac:dyDescent="0.2"/>
  <cols>
    <col min="1" max="3" width="9.125" style="16"/>
    <col min="4" max="4" width="20.125" style="16" bestFit="1" customWidth="1"/>
    <col min="5" max="5" width="9.25" style="16" bestFit="1" customWidth="1"/>
    <col min="6" max="8" width="10.75" style="16" bestFit="1" customWidth="1"/>
    <col min="9" max="9" width="9.25" style="16" bestFit="1" customWidth="1"/>
    <col min="10" max="10" width="10.75" style="16" bestFit="1" customWidth="1"/>
    <col min="11" max="12" width="9.125" style="16"/>
    <col min="13" max="13" width="50.125" style="16" customWidth="1"/>
    <col min="14" max="16" width="14.125" style="16" customWidth="1"/>
    <col min="17" max="16384" width="9.125" style="16"/>
  </cols>
  <sheetData>
    <row r="2" spans="4:11" ht="12" thickBot="1" x14ac:dyDescent="0.25"/>
    <row r="3" spans="4:11" ht="34.5" thickBot="1" x14ac:dyDescent="0.25">
      <c r="D3" s="14" t="s">
        <v>1395</v>
      </c>
      <c r="E3" s="7" t="s">
        <v>135</v>
      </c>
      <c r="F3" s="7" t="s">
        <v>1348</v>
      </c>
      <c r="G3" s="7" t="s">
        <v>1411</v>
      </c>
      <c r="H3" s="7" t="s">
        <v>136</v>
      </c>
      <c r="I3" s="7" t="s">
        <v>1352</v>
      </c>
      <c r="J3" s="7" t="s">
        <v>347</v>
      </c>
      <c r="K3" s="34" t="s">
        <v>137</v>
      </c>
    </row>
    <row r="4" spans="4:11" ht="12" thickBot="1" x14ac:dyDescent="0.25">
      <c r="D4" s="35"/>
      <c r="E4" s="36"/>
      <c r="F4" s="36"/>
      <c r="G4" s="36"/>
      <c r="H4" s="36"/>
      <c r="I4" s="36"/>
      <c r="J4" s="36"/>
      <c r="K4" s="37"/>
    </row>
    <row r="5" spans="4:11" ht="12" thickBot="1" x14ac:dyDescent="0.25">
      <c r="D5" s="440">
        <v>41640</v>
      </c>
      <c r="E5" s="292">
        <v>1071</v>
      </c>
      <c r="F5" s="292">
        <v>104155</v>
      </c>
      <c r="G5" s="292"/>
      <c r="H5" s="293">
        <v>224049</v>
      </c>
      <c r="I5" s="293"/>
      <c r="J5" s="293">
        <v>11299</v>
      </c>
      <c r="K5" s="294">
        <f t="shared" ref="K5:K11" si="0">SUM(E5:J5)</f>
        <v>340574</v>
      </c>
    </row>
    <row r="6" spans="4:11" x14ac:dyDescent="0.2">
      <c r="D6" s="38" t="s">
        <v>139</v>
      </c>
      <c r="E6" s="203"/>
      <c r="F6" s="203"/>
      <c r="G6" s="203"/>
      <c r="H6" s="203"/>
      <c r="I6" s="203"/>
      <c r="J6" s="203"/>
      <c r="K6" s="225">
        <f t="shared" si="0"/>
        <v>0</v>
      </c>
    </row>
    <row r="7" spans="4:11" ht="12" thickBot="1" x14ac:dyDescent="0.25">
      <c r="D7" s="1" t="s">
        <v>138</v>
      </c>
      <c r="E7" s="203">
        <v>9352</v>
      </c>
      <c r="F7" s="203">
        <v>5083</v>
      </c>
      <c r="G7" s="203">
        <v>36355</v>
      </c>
      <c r="H7" s="295"/>
      <c r="I7" s="203">
        <v>380</v>
      </c>
      <c r="J7" s="203">
        <v>-2928</v>
      </c>
      <c r="K7" s="225">
        <f t="shared" si="0"/>
        <v>48242</v>
      </c>
    </row>
    <row r="8" spans="4:11" ht="12" thickBot="1" x14ac:dyDescent="0.25">
      <c r="D8" s="440">
        <v>42004</v>
      </c>
      <c r="E8" s="293">
        <f t="shared" ref="E8:J8" si="1">SUM(E5:E7)</f>
        <v>10423</v>
      </c>
      <c r="F8" s="293">
        <f t="shared" si="1"/>
        <v>109238</v>
      </c>
      <c r="G8" s="293">
        <f t="shared" si="1"/>
        <v>36355</v>
      </c>
      <c r="H8" s="293">
        <f t="shared" si="1"/>
        <v>224049</v>
      </c>
      <c r="I8" s="293">
        <f t="shared" si="1"/>
        <v>380</v>
      </c>
      <c r="J8" s="293">
        <f t="shared" si="1"/>
        <v>8371</v>
      </c>
      <c r="K8" s="294">
        <f t="shared" si="0"/>
        <v>388816</v>
      </c>
    </row>
    <row r="9" spans="4:11" x14ac:dyDescent="0.2">
      <c r="D9" s="38" t="s">
        <v>140</v>
      </c>
      <c r="E9" s="296"/>
      <c r="F9" s="296"/>
      <c r="G9" s="296"/>
      <c r="H9" s="296"/>
      <c r="I9" s="296"/>
      <c r="J9" s="296"/>
      <c r="K9" s="225">
        <f t="shared" si="0"/>
        <v>0</v>
      </c>
    </row>
    <row r="10" spans="4:11" ht="12" thickBot="1" x14ac:dyDescent="0.25">
      <c r="D10" s="1" t="s">
        <v>138</v>
      </c>
      <c r="E10" s="295">
        <v>-4259</v>
      </c>
      <c r="F10" s="295">
        <v>-42650</v>
      </c>
      <c r="G10" s="295">
        <v>-9700</v>
      </c>
      <c r="H10" s="295"/>
      <c r="I10" s="295">
        <v>-380</v>
      </c>
      <c r="J10" s="295">
        <f>-4676-468</f>
        <v>-5144</v>
      </c>
      <c r="K10" s="225">
        <f t="shared" si="0"/>
        <v>-62133</v>
      </c>
    </row>
    <row r="11" spans="4:11" ht="12" thickBot="1" x14ac:dyDescent="0.25">
      <c r="D11" s="440">
        <v>42369</v>
      </c>
      <c r="E11" s="293">
        <f t="shared" ref="E11:J11" si="2">SUM(E8:E10)</f>
        <v>6164</v>
      </c>
      <c r="F11" s="293">
        <f t="shared" si="2"/>
        <v>66588</v>
      </c>
      <c r="G11" s="293">
        <f t="shared" si="2"/>
        <v>26655</v>
      </c>
      <c r="H11" s="293">
        <f t="shared" si="2"/>
        <v>224049</v>
      </c>
      <c r="I11" s="293">
        <f t="shared" si="2"/>
        <v>0</v>
      </c>
      <c r="J11" s="293">
        <f t="shared" si="2"/>
        <v>3227</v>
      </c>
      <c r="K11" s="294">
        <f t="shared" si="0"/>
        <v>326683</v>
      </c>
    </row>
    <row r="16" spans="4:11" ht="12" thickBot="1" x14ac:dyDescent="0.25"/>
    <row r="17" spans="4:16" ht="23.25" thickBot="1" x14ac:dyDescent="0.25">
      <c r="D17" s="14" t="s">
        <v>1395</v>
      </c>
      <c r="E17" s="7" t="s">
        <v>1347</v>
      </c>
      <c r="F17" s="7" t="s">
        <v>1349</v>
      </c>
      <c r="G17" s="7" t="s">
        <v>1350</v>
      </c>
      <c r="H17" s="7" t="s">
        <v>1352</v>
      </c>
      <c r="I17" s="7" t="s">
        <v>1351</v>
      </c>
      <c r="J17" s="34" t="s">
        <v>137</v>
      </c>
    </row>
    <row r="18" spans="4:16" ht="12" thickBot="1" x14ac:dyDescent="0.25">
      <c r="D18" s="35"/>
      <c r="E18" s="36"/>
      <c r="F18" s="36"/>
      <c r="G18" s="36"/>
      <c r="H18" s="36"/>
      <c r="I18" s="36"/>
      <c r="J18" s="37"/>
    </row>
    <row r="19" spans="4:16" ht="12" thickBot="1" x14ac:dyDescent="0.25">
      <c r="D19" s="440">
        <v>41640</v>
      </c>
      <c r="E19" s="292">
        <v>-54668</v>
      </c>
      <c r="F19" s="292">
        <v>-2968964</v>
      </c>
      <c r="G19" s="292">
        <v>-17542</v>
      </c>
      <c r="H19" s="293">
        <v>0</v>
      </c>
      <c r="I19" s="293">
        <v>-29554</v>
      </c>
      <c r="J19" s="294">
        <f t="shared" ref="J19:J25" si="3">SUM(E19:I19)</f>
        <v>-3070728</v>
      </c>
    </row>
    <row r="20" spans="4:16" x14ac:dyDescent="0.2">
      <c r="D20" s="38" t="s">
        <v>139</v>
      </c>
      <c r="E20" s="203"/>
      <c r="F20" s="203"/>
      <c r="G20" s="203"/>
      <c r="H20" s="203"/>
      <c r="I20" s="203"/>
      <c r="J20" s="225">
        <f t="shared" si="3"/>
        <v>0</v>
      </c>
    </row>
    <row r="21" spans="4:16" ht="12" thickBot="1" x14ac:dyDescent="0.25">
      <c r="D21" s="1" t="s">
        <v>138</v>
      </c>
      <c r="E21" s="203">
        <f>-65874+54668</f>
        <v>-11206</v>
      </c>
      <c r="F21" s="203">
        <v>78720</v>
      </c>
      <c r="G21" s="203">
        <v>13411</v>
      </c>
      <c r="H21" s="203"/>
      <c r="I21" s="203">
        <v>-10014</v>
      </c>
      <c r="J21" s="225">
        <f t="shared" si="3"/>
        <v>70911</v>
      </c>
    </row>
    <row r="22" spans="4:16" ht="12" thickBot="1" x14ac:dyDescent="0.25">
      <c r="D22" s="440">
        <v>42004</v>
      </c>
      <c r="E22" s="293">
        <f>SUM(E19:E21)</f>
        <v>-65874</v>
      </c>
      <c r="F22" s="293">
        <f>SUM(F19:F21)</f>
        <v>-2890244</v>
      </c>
      <c r="G22" s="293">
        <f>SUM(G19:G21)</f>
        <v>-4131</v>
      </c>
      <c r="H22" s="293">
        <f>SUM(H19:H21)</f>
        <v>0</v>
      </c>
      <c r="I22" s="293">
        <f>SUM(I19:I21)</f>
        <v>-39568</v>
      </c>
      <c r="J22" s="294">
        <f t="shared" si="3"/>
        <v>-2999817</v>
      </c>
    </row>
    <row r="23" spans="4:16" x14ac:dyDescent="0.2">
      <c r="D23" s="38" t="s">
        <v>140</v>
      </c>
      <c r="E23" s="296"/>
      <c r="F23" s="296"/>
      <c r="G23" s="296"/>
      <c r="H23" s="296"/>
      <c r="I23" s="296"/>
      <c r="J23" s="225">
        <f t="shared" si="3"/>
        <v>0</v>
      </c>
    </row>
    <row r="24" spans="4:16" ht="12" thickBot="1" x14ac:dyDescent="0.25">
      <c r="D24" s="1" t="s">
        <v>138</v>
      </c>
      <c r="E24" s="295">
        <v>12378</v>
      </c>
      <c r="F24" s="295">
        <v>407603</v>
      </c>
      <c r="G24" s="295">
        <v>-5201</v>
      </c>
      <c r="H24" s="295">
        <f>-10785+1182</f>
        <v>-9603</v>
      </c>
      <c r="I24" s="295">
        <f>845+4714</f>
        <v>5559</v>
      </c>
      <c r="J24" s="225">
        <f t="shared" si="3"/>
        <v>410736</v>
      </c>
    </row>
    <row r="25" spans="4:16" ht="12" thickBot="1" x14ac:dyDescent="0.25">
      <c r="D25" s="440">
        <v>42369</v>
      </c>
      <c r="E25" s="293">
        <f t="shared" ref="E25:I25" si="4">SUM(E22:E24)</f>
        <v>-53496</v>
      </c>
      <c r="F25" s="293">
        <f t="shared" si="4"/>
        <v>-2482641</v>
      </c>
      <c r="G25" s="293">
        <f t="shared" si="4"/>
        <v>-9332</v>
      </c>
      <c r="H25" s="293">
        <f t="shared" si="4"/>
        <v>-9603</v>
      </c>
      <c r="I25" s="293">
        <f t="shared" si="4"/>
        <v>-34009</v>
      </c>
      <c r="J25" s="294">
        <f t="shared" si="3"/>
        <v>-2589081</v>
      </c>
    </row>
    <row r="28" spans="4:16" x14ac:dyDescent="0.2">
      <c r="J28" s="20"/>
    </row>
    <row r="29" spans="4:16" ht="12" thickBot="1" x14ac:dyDescent="0.25">
      <c r="L29" s="20"/>
      <c r="N29" s="16" t="s">
        <v>915</v>
      </c>
      <c r="O29" s="16" t="s">
        <v>916</v>
      </c>
    </row>
    <row r="30" spans="4:16" ht="12" thickBot="1" x14ac:dyDescent="0.25">
      <c r="M30" s="14" t="s">
        <v>1395</v>
      </c>
      <c r="N30" s="7" t="s">
        <v>1356</v>
      </c>
      <c r="O30" s="7" t="s">
        <v>1357</v>
      </c>
      <c r="P30" s="8" t="s">
        <v>137</v>
      </c>
    </row>
    <row r="31" spans="4:16" ht="12" thickBot="1" x14ac:dyDescent="0.25">
      <c r="M31" s="441">
        <v>41640</v>
      </c>
      <c r="N31" s="321">
        <f>SUMIF(DATA!$R:$R,N29,DATA!M:M)</f>
        <v>340574.08806714497</v>
      </c>
      <c r="O31" s="321">
        <f>SUMIF(DATA!$R:$R,O29,DATA!M:M)</f>
        <v>-3070728.2806699998</v>
      </c>
      <c r="P31" s="443">
        <f>SUM(N31:O31)</f>
        <v>-2730154.1926028547</v>
      </c>
    </row>
    <row r="32" spans="4:16" ht="12" thickBot="1" x14ac:dyDescent="0.25">
      <c r="M32" s="442">
        <v>42004</v>
      </c>
      <c r="N32" s="255">
        <f>SUMIF(DATA!$R:$R,N29,DATA!N:N)</f>
        <v>388816.31455799326</v>
      </c>
      <c r="O32" s="255">
        <f>SUMIF(DATA!$R:$R,O29,DATA!N:N)</f>
        <v>-2999817.7793371407</v>
      </c>
      <c r="P32" s="269">
        <f>SUM(N32:O32)</f>
        <v>-2611001.4647791474</v>
      </c>
    </row>
    <row r="33" spans="13:16" ht="12" thickBot="1" x14ac:dyDescent="0.25">
      <c r="M33" s="441">
        <v>42369</v>
      </c>
      <c r="N33" s="256">
        <f>SUMIF(DATA!$R:$R,N29,DATA!O:O)</f>
        <v>326682.65208964917</v>
      </c>
      <c r="O33" s="256">
        <f>SUMIF(DATA!$R:$R,O29,DATA!O:O)</f>
        <v>-2589081.471651182</v>
      </c>
      <c r="P33" s="444">
        <f>SUM(N33:O33)</f>
        <v>-2262398.8195615327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6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85" t="s">
        <v>116</v>
      </c>
    </row>
    <row r="5" spans="1:5" ht="12" thickBot="1" x14ac:dyDescent="0.25">
      <c r="A5" s="16" t="s">
        <v>903</v>
      </c>
      <c r="B5" s="19" t="s">
        <v>141</v>
      </c>
      <c r="C5" s="257">
        <f>SUMIF(DATA!R:R,A5,DATA!O:O)</f>
        <v>-10866101.67</v>
      </c>
      <c r="D5" s="257">
        <f>SUMIF(DATA!R:R,A5,DATA!N:N)</f>
        <v>-11322163.42</v>
      </c>
      <c r="E5" s="258">
        <f>C5-D5</f>
        <v>456061.75</v>
      </c>
    </row>
    <row r="6" spans="1:5" ht="12" thickBot="1" x14ac:dyDescent="0.25">
      <c r="B6" s="40" t="s">
        <v>117</v>
      </c>
      <c r="C6" s="223">
        <f>SUM(C5:C5)</f>
        <v>-10866101.67</v>
      </c>
      <c r="D6" s="223">
        <f>SUM(D5:D5)</f>
        <v>-11322163.42</v>
      </c>
      <c r="E6" s="224">
        <f>SUM(E5:E5)</f>
        <v>456061.75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85" t="s">
        <v>116</v>
      </c>
    </row>
    <row r="5" spans="1:5" x14ac:dyDescent="0.2">
      <c r="A5" s="16" t="s">
        <v>900</v>
      </c>
      <c r="B5" s="3" t="s">
        <v>143</v>
      </c>
      <c r="C5" s="220">
        <f>SUMIF(DATA!R:R,A5,DATA!O:O)</f>
        <v>-9944630.9100000039</v>
      </c>
      <c r="D5" s="220">
        <f>SUMIF(DATA!R:R,A5,DATA!N:N)</f>
        <v>-8741797.4600000009</v>
      </c>
      <c r="E5" s="221">
        <f>C5-D5</f>
        <v>-1202833.450000003</v>
      </c>
    </row>
    <row r="6" spans="1:5" x14ac:dyDescent="0.2">
      <c r="A6" s="16" t="s">
        <v>901</v>
      </c>
      <c r="B6" s="1" t="s">
        <v>898</v>
      </c>
      <c r="C6" s="212">
        <f>SUMIF(DATA!R:R,A6,DATA!O:O)</f>
        <v>-44375.145000000004</v>
      </c>
      <c r="D6" s="212">
        <f>SUMIF(DATA!R:R,A6,DATA!N:N)</f>
        <v>-6145.92</v>
      </c>
      <c r="E6" s="222">
        <f>C6-D6</f>
        <v>-38229.225000000006</v>
      </c>
    </row>
    <row r="7" spans="1:5" ht="12" thickBot="1" x14ac:dyDescent="0.25">
      <c r="A7" s="16" t="s">
        <v>902</v>
      </c>
      <c r="B7" s="4" t="s">
        <v>134</v>
      </c>
      <c r="C7" s="229">
        <f>SUMIF(DATA!R:R,A7,DATA!O:O)</f>
        <v>0</v>
      </c>
      <c r="D7" s="229">
        <f>SUMIF(DATA!R:R,A7,DATA!N:N)</f>
        <v>0</v>
      </c>
      <c r="E7" s="230">
        <f>C7-D7</f>
        <v>0</v>
      </c>
    </row>
    <row r="8" spans="1:5" ht="12" thickBot="1" x14ac:dyDescent="0.25">
      <c r="B8" s="40" t="s">
        <v>117</v>
      </c>
      <c r="C8" s="223">
        <f>SUM(C5:C7)</f>
        <v>-9989006.0550000034</v>
      </c>
      <c r="D8" s="223">
        <f>SUM(D5:D7)</f>
        <v>-8747943.3800000008</v>
      </c>
      <c r="E8" s="224">
        <f>SUM(E5:E7)</f>
        <v>-1241062.6750000031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9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85" t="s">
        <v>116</v>
      </c>
    </row>
    <row r="5" spans="1:5" x14ac:dyDescent="0.2">
      <c r="A5" s="16" t="s">
        <v>911</v>
      </c>
      <c r="B5" s="3" t="s">
        <v>505</v>
      </c>
      <c r="C5" s="220">
        <f>SUMIF(DATA!R:R,A5,DATA!O:O)</f>
        <v>-316650.46000000008</v>
      </c>
      <c r="D5" s="220">
        <f>SUMIF(DATA!R:R,A5,DATA!N:N)</f>
        <v>-486529.31000000006</v>
      </c>
      <c r="E5" s="221">
        <f>C5-D5</f>
        <v>169878.84999999998</v>
      </c>
    </row>
    <row r="6" spans="1:5" x14ac:dyDescent="0.2">
      <c r="A6" s="16" t="s">
        <v>912</v>
      </c>
      <c r="B6" s="1" t="s">
        <v>522</v>
      </c>
      <c r="C6" s="212">
        <f>SUMIF(DATA!R:R,A6,DATA!O:O)</f>
        <v>-315363.43000000005</v>
      </c>
      <c r="D6" s="212">
        <f>SUMIF(DATA!R:R,A6,DATA!N:N)</f>
        <v>-318928.14</v>
      </c>
      <c r="E6" s="222">
        <f>C6-D6</f>
        <v>3564.7099999999627</v>
      </c>
    </row>
    <row r="7" spans="1:5" x14ac:dyDescent="0.2">
      <c r="A7" s="16" t="s">
        <v>913</v>
      </c>
      <c r="B7" s="1" t="s">
        <v>129</v>
      </c>
      <c r="C7" s="212">
        <f>SUMIF(DATA!R:R,A7,DATA!O:O)</f>
        <v>-1636460.9136155834</v>
      </c>
      <c r="D7" s="212">
        <f>SUMIF(DATA!R:R,A7,DATA!N:N)</f>
        <v>-1801412.8447618948</v>
      </c>
      <c r="E7" s="222">
        <f>C7-D7</f>
        <v>164951.93114631134</v>
      </c>
    </row>
    <row r="8" spans="1:5" ht="12" thickBot="1" x14ac:dyDescent="0.25">
      <c r="A8" s="16" t="s">
        <v>1353</v>
      </c>
      <c r="B8" s="4" t="s">
        <v>347</v>
      </c>
      <c r="C8" s="229">
        <f>SUMIF(DATA!R:R,A8,DATA!O:O)</f>
        <v>-20619.3</v>
      </c>
      <c r="D8" s="229">
        <f>SUMIF(DATA!R:R,A8,DATA!N:N)</f>
        <v>-34568.370000000003</v>
      </c>
      <c r="E8" s="231">
        <f>C8-D8</f>
        <v>13949.070000000003</v>
      </c>
    </row>
    <row r="9" spans="1:5" ht="12" thickBot="1" x14ac:dyDescent="0.25">
      <c r="B9" s="40" t="s">
        <v>117</v>
      </c>
      <c r="C9" s="223">
        <f>SUM(C5:C7)</f>
        <v>-2268474.8036155836</v>
      </c>
      <c r="D9" s="223">
        <f>SUM(D5:D7)</f>
        <v>-2606870.2947618947</v>
      </c>
      <c r="E9" s="224">
        <f>SUM(E5:E7)</f>
        <v>338395.49114631128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H22"/>
  <sheetViews>
    <sheetView workbookViewId="0">
      <selection activeCell="B3" sqref="B3:F22"/>
    </sheetView>
  </sheetViews>
  <sheetFormatPr defaultColWidth="9.125" defaultRowHeight="11.25" x14ac:dyDescent="0.2"/>
  <cols>
    <col min="1" max="1" width="9.125" style="16"/>
    <col min="2" max="2" width="50" style="16" customWidth="1"/>
    <col min="3" max="3" width="13.875" style="16" customWidth="1"/>
    <col min="4" max="4" width="14.375" style="16" customWidth="1"/>
    <col min="5" max="5" width="14" style="16" customWidth="1"/>
    <col min="6" max="6" width="9.875" style="16" customWidth="1"/>
    <col min="7" max="9" width="9.125" style="16"/>
    <col min="10" max="10" width="42.25" style="16" bestFit="1" customWidth="1"/>
    <col min="11" max="16384" width="9.125" style="16"/>
  </cols>
  <sheetData>
    <row r="3" spans="1:6" ht="26.25" customHeight="1" thickBot="1" x14ac:dyDescent="0.25">
      <c r="B3" s="592" t="s">
        <v>1453</v>
      </c>
      <c r="C3" s="592"/>
      <c r="D3" s="592"/>
      <c r="E3" s="592"/>
    </row>
    <row r="4" spans="1:6" ht="16.5" thickBot="1" x14ac:dyDescent="0.25">
      <c r="B4" s="558" t="s">
        <v>982</v>
      </c>
      <c r="C4" s="559">
        <v>42369</v>
      </c>
      <c r="D4" s="559">
        <v>42004</v>
      </c>
      <c r="E4" s="468" t="s">
        <v>50</v>
      </c>
      <c r="F4" s="473" t="s">
        <v>51</v>
      </c>
    </row>
    <row r="5" spans="1:6" ht="15" x14ac:dyDescent="0.2">
      <c r="A5" s="16" t="s">
        <v>841</v>
      </c>
      <c r="B5" s="496" t="s">
        <v>52</v>
      </c>
      <c r="C5" s="469">
        <f>+'situazione patrimoniale finanzi'!D9+'situazione patrimoniale finanzi'!D8</f>
        <v>7804</v>
      </c>
      <c r="D5" s="469">
        <f ca="1">+'situazione patrimoniale finanzi'!E9+'situazione patrimoniale finanzi'!E8</f>
        <v>18733</v>
      </c>
      <c r="E5" s="469">
        <f ca="1">C5-D5</f>
        <v>-10929</v>
      </c>
      <c r="F5" s="474">
        <f ca="1">E5/D5</f>
        <v>-0.58340895745475896</v>
      </c>
    </row>
    <row r="6" spans="1:6" ht="15" x14ac:dyDescent="0.2">
      <c r="A6" s="16" t="s">
        <v>842</v>
      </c>
      <c r="B6" s="496" t="s">
        <v>53</v>
      </c>
      <c r="C6" s="469">
        <f>+'situazione patrimoniale finanzi'!D11+'situazione patrimoniale finanzi'!D10</f>
        <v>17036659.201524742</v>
      </c>
      <c r="D6" s="469">
        <f ca="1">+'situazione patrimoniale finanzi'!E11+'situazione patrimoniale finanzi'!E10</f>
        <v>17230107.239249624</v>
      </c>
      <c r="E6" s="469">
        <f t="shared" ref="E6:E15" ca="1" si="0">C6-D6</f>
        <v>-193448.03772488236</v>
      </c>
      <c r="F6" s="474">
        <f t="shared" ref="F6:F15" ca="1" si="1">E6/D6</f>
        <v>-1.1227326390877824E-2</v>
      </c>
    </row>
    <row r="7" spans="1:6" ht="15" x14ac:dyDescent="0.2">
      <c r="A7" s="16" t="s">
        <v>843</v>
      </c>
      <c r="B7" s="496" t="s">
        <v>852</v>
      </c>
      <c r="C7" s="469">
        <f>+'situazione patrimoniale finanzi'!D12</f>
        <v>6004</v>
      </c>
      <c r="D7" s="469">
        <f ca="1">+'situazione patrimoniale finanzi'!E12</f>
        <v>5704</v>
      </c>
      <c r="E7" s="469">
        <f t="shared" ca="1" si="0"/>
        <v>300</v>
      </c>
      <c r="F7" s="474">
        <f t="shared" ca="1" si="1"/>
        <v>5.2594670406732116E-2</v>
      </c>
    </row>
    <row r="8" spans="1:6" ht="15" x14ac:dyDescent="0.2">
      <c r="A8" s="16" t="s">
        <v>844</v>
      </c>
      <c r="B8" s="496" t="s">
        <v>55</v>
      </c>
      <c r="C8" s="469">
        <f>+'situazione patrimoniale finanzi'!D13+'situazione patrimoniale finanzi'!D14-'situazione patrimoniale finanzi'!D33-'situazione patrimoniale finanzi'!D35</f>
        <v>-2550412.3295615329</v>
      </c>
      <c r="D8" s="469">
        <f ca="1">+'situazione patrimoniale finanzi'!E13+'situazione patrimoniale finanzi'!E14-'situazione patrimoniale finanzi'!E33-'situazione patrimoniale finanzi'!E35</f>
        <v>-2822653.5247791475</v>
      </c>
      <c r="E8" s="469">
        <f t="shared" ca="1" si="0"/>
        <v>272241.19521761453</v>
      </c>
      <c r="F8" s="474">
        <f t="shared" ca="1" si="1"/>
        <v>-9.644867598084518E-2</v>
      </c>
    </row>
    <row r="9" spans="1:6" ht="15" x14ac:dyDescent="0.2">
      <c r="A9" s="16" t="s">
        <v>845</v>
      </c>
      <c r="B9" s="496" t="s">
        <v>56</v>
      </c>
      <c r="C9" s="469">
        <f>-'situazione patrimoniale finanzi'!D34</f>
        <v>-975811.2</v>
      </c>
      <c r="D9" s="469">
        <f ca="1">-'situazione patrimoniale finanzi'!E34</f>
        <v>-945902.23</v>
      </c>
      <c r="E9" s="469">
        <f t="shared" ca="1" si="0"/>
        <v>-29908.969999999972</v>
      </c>
      <c r="F9" s="474">
        <f t="shared" ca="1" si="1"/>
        <v>3.1619515264278392E-2</v>
      </c>
    </row>
    <row r="10" spans="1:6" ht="15.75" thickBot="1" x14ac:dyDescent="0.25">
      <c r="A10" s="16" t="s">
        <v>845</v>
      </c>
      <c r="B10" s="496" t="s">
        <v>2</v>
      </c>
      <c r="C10" s="469">
        <f>-'situazione patrimoniale finanzi'!D36</f>
        <v>-4560070.34</v>
      </c>
      <c r="D10" s="469">
        <f ca="1">-'situazione patrimoniale finanzi'!E36</f>
        <v>-5146622.0099999988</v>
      </c>
      <c r="E10" s="469">
        <f t="shared" ca="1" si="0"/>
        <v>586551.66999999899</v>
      </c>
      <c r="F10" s="474">
        <f t="shared" ca="1" si="1"/>
        <v>-0.11396828227530918</v>
      </c>
    </row>
    <row r="11" spans="1:6" ht="16.5" thickBot="1" x14ac:dyDescent="0.25">
      <c r="B11" s="560" t="s">
        <v>57</v>
      </c>
      <c r="C11" s="470">
        <f>SUM(C5:C10)</f>
        <v>8964173.3319632094</v>
      </c>
      <c r="D11" s="470">
        <f ca="1">SUM(D5:D10)</f>
        <v>8339366.4744704766</v>
      </c>
      <c r="E11" s="470">
        <f ca="1">SUM(E5:E10)</f>
        <v>624806.85749273119</v>
      </c>
      <c r="F11" s="475">
        <f ca="1">E11/D11</f>
        <v>7.4922580678696518E-2</v>
      </c>
    </row>
    <row r="12" spans="1:6" ht="15" x14ac:dyDescent="0.2">
      <c r="A12" s="16" t="s">
        <v>846</v>
      </c>
      <c r="B12" s="514" t="s">
        <v>58</v>
      </c>
      <c r="C12" s="515">
        <f>+'situazione patrimoniale finanzi'!D17</f>
        <v>7948551</v>
      </c>
      <c r="D12" s="515">
        <f ca="1">+'situazione patrimoniale finanzi'!E17</f>
        <v>7168971</v>
      </c>
      <c r="E12" s="471">
        <f t="shared" ca="1" si="0"/>
        <v>779580</v>
      </c>
      <c r="F12" s="476">
        <f t="shared" ca="1" si="1"/>
        <v>0.10874363977759151</v>
      </c>
    </row>
    <row r="13" spans="1:6" ht="15" x14ac:dyDescent="0.2">
      <c r="A13" s="16" t="s">
        <v>847</v>
      </c>
      <c r="B13" s="496" t="s">
        <v>1</v>
      </c>
      <c r="C13" s="469">
        <f>-'situazione patrimoniale finanzi'!D42</f>
        <v>-9989006.0550000034</v>
      </c>
      <c r="D13" s="469">
        <f ca="1">-'situazione patrimoniale finanzi'!E42</f>
        <v>-8747943.3800000008</v>
      </c>
      <c r="E13" s="469">
        <f t="shared" ca="1" si="0"/>
        <v>-1241062.6750000026</v>
      </c>
      <c r="F13" s="474">
        <f t="shared" ca="1" si="1"/>
        <v>0.14186907951843677</v>
      </c>
    </row>
    <row r="14" spans="1:6" ht="15" x14ac:dyDescent="0.2">
      <c r="A14" s="16" t="s">
        <v>848</v>
      </c>
      <c r="B14" s="496" t="s">
        <v>59</v>
      </c>
      <c r="C14" s="469">
        <f>+'situazione patrimoniale finanzi'!D18</f>
        <v>9511336.8800000008</v>
      </c>
      <c r="D14" s="469">
        <f ca="1">+'situazione patrimoniale finanzi'!E18</f>
        <v>8833620.6700000018</v>
      </c>
      <c r="E14" s="469">
        <f t="shared" ca="1" si="0"/>
        <v>677716.20999999903</v>
      </c>
      <c r="F14" s="474">
        <f t="shared" ca="1" si="1"/>
        <v>7.6720094207984466E-2</v>
      </c>
    </row>
    <row r="15" spans="1:6" ht="15.75" thickBot="1" x14ac:dyDescent="0.25">
      <c r="A15" s="16" t="s">
        <v>849</v>
      </c>
      <c r="B15" s="517" t="s">
        <v>60</v>
      </c>
      <c r="C15" s="472">
        <f>+'situazione patrimoniale finanzi'!D19+'situazione patrimoniale finanzi'!D20+'situazione patrimoniale finanzi'!D21-'situazione patrimoniale finanzi'!D39-'situazione patrimoniale finanzi'!D40-'situazione patrimoniale finanzi'!D41</f>
        <v>-11497100.703615585</v>
      </c>
      <c r="D15" s="472">
        <f ca="1">+'situazione patrimoniale finanzi'!E19+'situazione patrimoniale finanzi'!E20+'situazione patrimoniale finanzi'!E21-'situazione patrimoniale finanzi'!E39-'situazione patrimoniale finanzi'!E40-'situazione patrimoniale finanzi'!E41</f>
        <v>-10806155.424761895</v>
      </c>
      <c r="E15" s="472">
        <f t="shared" ca="1" si="0"/>
        <v>-690945.27885369025</v>
      </c>
      <c r="F15" s="477">
        <f t="shared" ca="1" si="1"/>
        <v>6.393997233006804E-2</v>
      </c>
    </row>
    <row r="16" spans="1:6" ht="16.5" thickBot="1" x14ac:dyDescent="0.25">
      <c r="B16" s="560" t="s">
        <v>61</v>
      </c>
      <c r="C16" s="470">
        <f>SUM(C12:C15)</f>
        <v>-4026218.8786155879</v>
      </c>
      <c r="D16" s="470">
        <f ca="1">SUM(D12:D15)</f>
        <v>-3551507.1347618941</v>
      </c>
      <c r="E16" s="470">
        <f ca="1">SUM(E12:E15)</f>
        <v>-474711.74385369383</v>
      </c>
      <c r="F16" s="475">
        <f ca="1">E16/D16</f>
        <v>0.13366487123375023</v>
      </c>
    </row>
    <row r="17" spans="1:8" ht="16.5" thickBot="1" x14ac:dyDescent="0.25">
      <c r="B17" s="560" t="s">
        <v>45</v>
      </c>
      <c r="C17" s="470">
        <f>C11+C16</f>
        <v>4937954.4533476215</v>
      </c>
      <c r="D17" s="470">
        <f ca="1">D11+D16</f>
        <v>4787859.3397085825</v>
      </c>
      <c r="E17" s="470">
        <f ca="1">E11+E16</f>
        <v>150095.11363903736</v>
      </c>
      <c r="F17" s="475">
        <f ca="1">E17/D17</f>
        <v>3.1349106769743375E-2</v>
      </c>
      <c r="H17" s="20"/>
    </row>
    <row r="18" spans="1:8" ht="15" x14ac:dyDescent="0.2">
      <c r="A18" s="16" t="s">
        <v>849</v>
      </c>
      <c r="B18" s="514" t="s">
        <v>62</v>
      </c>
      <c r="C18" s="515">
        <f>'situazione patrimoniale finanzi'!D28</f>
        <v>5300000</v>
      </c>
      <c r="D18" s="515">
        <f ca="1">'situazione patrimoniale finanzi'!E28</f>
        <v>5300000</v>
      </c>
      <c r="E18" s="471">
        <f t="shared" ref="E18:E19" ca="1" si="2">C18-D18</f>
        <v>0</v>
      </c>
      <c r="F18" s="476">
        <f t="shared" ref="F18:F19" ca="1" si="3">E18/D18</f>
        <v>0</v>
      </c>
    </row>
    <row r="19" spans="1:8" ht="15.75" thickBot="1" x14ac:dyDescent="0.25">
      <c r="A19" s="16" t="s">
        <v>850</v>
      </c>
      <c r="B19" s="517" t="s">
        <v>63</v>
      </c>
      <c r="C19" s="472">
        <f>'situazione patrimoniale finanzi'!D29+'situazione patrimoniale finanzi'!D30</f>
        <v>-362045.54665238847</v>
      </c>
      <c r="D19" s="472">
        <f ca="1">'situazione patrimoniale finanzi'!E29+'situazione patrimoniale finanzi'!E30</f>
        <v>-512140.66029144137</v>
      </c>
      <c r="E19" s="472">
        <f t="shared" ca="1" si="2"/>
        <v>150095.1136390529</v>
      </c>
      <c r="F19" s="477">
        <f t="shared" ca="1" si="3"/>
        <v>-0.29307400344592638</v>
      </c>
    </row>
    <row r="20" spans="1:8" ht="16.5" thickBot="1" x14ac:dyDescent="0.25">
      <c r="B20" s="560" t="s">
        <v>46</v>
      </c>
      <c r="C20" s="470">
        <f>SUM(C18:C19)</f>
        <v>4937954.4533476112</v>
      </c>
      <c r="D20" s="470">
        <f ca="1">SUM(D18:D19)</f>
        <v>4787859.3397085583</v>
      </c>
      <c r="E20" s="470">
        <f ca="1">SUM(E18:E19)</f>
        <v>150095.1136390529</v>
      </c>
      <c r="F20" s="475">
        <f ca="1">E20/D20</f>
        <v>3.1349106769746775E-2</v>
      </c>
    </row>
    <row r="21" spans="1:8" ht="15.75" thickBot="1" x14ac:dyDescent="0.25">
      <c r="A21" s="16" t="s">
        <v>851</v>
      </c>
      <c r="B21" s="561" t="s">
        <v>0</v>
      </c>
      <c r="C21" s="562">
        <f>+PFN!D18</f>
        <v>-12803787.355000002</v>
      </c>
      <c r="D21" s="562">
        <f>+PFN!E18</f>
        <v>-11147871.77</v>
      </c>
      <c r="E21" s="472">
        <f t="shared" ref="E21" si="4">C21-D21</f>
        <v>-1655915.5850000028</v>
      </c>
      <c r="F21" s="477">
        <f t="shared" ref="F21" si="5">E21/D21</f>
        <v>0.14854096092639241</v>
      </c>
    </row>
    <row r="22" spans="1:8" ht="16.5" thickBot="1" x14ac:dyDescent="0.25">
      <c r="B22" s="560" t="s">
        <v>64</v>
      </c>
      <c r="C22" s="470">
        <f>SUM(C20:C21)</f>
        <v>-7865832.9016523911</v>
      </c>
      <c r="D22" s="470">
        <f ca="1">SUM(D20:D21)</f>
        <v>-6360012.4302914413</v>
      </c>
      <c r="E22" s="470">
        <f t="shared" ref="E22" ca="1" si="6">SUM(E20:E21)</f>
        <v>-1505820.4713609498</v>
      </c>
      <c r="F22" s="475">
        <f ca="1">E22/D22</f>
        <v>0.23676376231421092</v>
      </c>
    </row>
  </sheetData>
  <mergeCells count="1">
    <mergeCell ref="B3:E3"/>
  </mergeCells>
  <pageMargins left="0.31496062992125984" right="0.31496062992125984" top="0.35433070866141736" bottom="0.35433070866141736" header="0" footer="0"/>
  <pageSetup paperSize="9" scale="87" fitToHeight="0" orientation="portrait" r:id="rId1"/>
  <ignoredErrors>
    <ignoredError sqref="C21:E21 E20 E11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9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85" t="s">
        <v>116</v>
      </c>
    </row>
    <row r="5" spans="1:5" x14ac:dyDescent="0.2">
      <c r="A5" s="16" t="s">
        <v>907</v>
      </c>
      <c r="B5" s="3" t="s">
        <v>904</v>
      </c>
      <c r="C5" s="220">
        <f>SUMIF(DATA!R:R,A5,DATA!O:O)</f>
        <v>-430251.70999999996</v>
      </c>
      <c r="D5" s="220">
        <f>SUMIF(DATA!R:R,A5,DATA!N:N)</f>
        <v>-428296.83</v>
      </c>
      <c r="E5" s="221">
        <f>C5-D5</f>
        <v>-1954.8799999999464</v>
      </c>
    </row>
    <row r="6" spans="1:5" x14ac:dyDescent="0.2">
      <c r="A6" s="16" t="s">
        <v>908</v>
      </c>
      <c r="B6" s="1" t="s">
        <v>905</v>
      </c>
      <c r="C6" s="212">
        <f>SUMIF(DATA!R:R,A6,DATA!O:O)</f>
        <v>0</v>
      </c>
      <c r="D6" s="212">
        <f>SUMIF(DATA!R:R,A6,DATA!N:N)</f>
        <v>0</v>
      </c>
      <c r="E6" s="222">
        <f>C6-D6</f>
        <v>0</v>
      </c>
    </row>
    <row r="7" spans="1:5" x14ac:dyDescent="0.2">
      <c r="A7" s="16" t="s">
        <v>909</v>
      </c>
      <c r="B7" s="1" t="s">
        <v>1324</v>
      </c>
      <c r="C7" s="212">
        <f>SUMIF(DATA!R:R,A7,DATA!O:O)</f>
        <v>-515966.97</v>
      </c>
      <c r="D7" s="212">
        <f>SUMIF(DATA!R:R,A7,DATA!N:N)</f>
        <v>-271208.43</v>
      </c>
      <c r="E7" s="222">
        <f>C7-D7</f>
        <v>-244758.53999999998</v>
      </c>
    </row>
    <row r="8" spans="1:5" ht="12" thickBot="1" x14ac:dyDescent="0.25">
      <c r="A8" s="16" t="s">
        <v>910</v>
      </c>
      <c r="B8" s="4" t="s">
        <v>906</v>
      </c>
      <c r="C8" s="229">
        <f>SUMIF(DATA!R:R,A8,DATA!O:O)</f>
        <v>-199244.02</v>
      </c>
      <c r="D8" s="229">
        <f>SUMIF(DATA!R:R,A8,DATA!N:N)</f>
        <v>-192672.28999999998</v>
      </c>
      <c r="E8" s="231">
        <f>C8-D8</f>
        <v>-6571.7300000000105</v>
      </c>
    </row>
    <row r="9" spans="1:5" ht="12" thickBot="1" x14ac:dyDescent="0.25">
      <c r="B9" s="40" t="s">
        <v>117</v>
      </c>
      <c r="C9" s="223">
        <f>SUM(C5:C8)</f>
        <v>-1145462.7</v>
      </c>
      <c r="D9" s="223">
        <f>SUM(D5:D8)</f>
        <v>-892177.55</v>
      </c>
      <c r="E9" s="224">
        <f>SUM(E5:E8)</f>
        <v>-253285.14999999994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8"/>
  <sheetViews>
    <sheetView workbookViewId="0">
      <selection activeCell="E11" sqref="E11"/>
    </sheetView>
  </sheetViews>
  <sheetFormatPr defaultColWidth="9.125" defaultRowHeight="11.25" x14ac:dyDescent="0.2"/>
  <cols>
    <col min="1" max="1" width="9.125" style="16"/>
    <col min="2" max="2" width="50.25" style="16" customWidth="1"/>
    <col min="3" max="5" width="14.125" style="16" customWidth="1"/>
    <col min="6" max="16384" width="9.125" style="16"/>
  </cols>
  <sheetData>
    <row r="3" spans="1:5" ht="12" thickBot="1" x14ac:dyDescent="0.25"/>
    <row r="4" spans="1:5" ht="12" thickBot="1" x14ac:dyDescent="0.25">
      <c r="B4" s="14" t="s">
        <v>1395</v>
      </c>
      <c r="C4" s="436">
        <v>42369</v>
      </c>
      <c r="D4" s="436">
        <v>42004</v>
      </c>
      <c r="E4" s="17" t="s">
        <v>116</v>
      </c>
    </row>
    <row r="5" spans="1:5" x14ac:dyDescent="0.2">
      <c r="A5" s="16" t="s">
        <v>882</v>
      </c>
      <c r="B5" s="1" t="s">
        <v>879</v>
      </c>
      <c r="C5" s="82">
        <f>SUMIF(DATA!R:R,A5,DATA!O:O)</f>
        <v>40307.550000000003</v>
      </c>
      <c r="D5" s="82">
        <f>SUMIF(DATA!R:R,A5,DATA!N:N)</f>
        <v>247331.36</v>
      </c>
      <c r="E5" s="28">
        <f>C5-D5</f>
        <v>-207023.81</v>
      </c>
    </row>
    <row r="6" spans="1:5" x14ac:dyDescent="0.2">
      <c r="A6" s="16" t="s">
        <v>883</v>
      </c>
      <c r="B6" s="1" t="s">
        <v>880</v>
      </c>
      <c r="C6" s="82">
        <f>SUMIF(DATA!R:R,A6,DATA!O:O)</f>
        <v>0</v>
      </c>
      <c r="D6" s="82">
        <f>SUMIF(DATA!R:R,A6,DATA!N:N)</f>
        <v>45029.03</v>
      </c>
      <c r="E6" s="28">
        <f t="shared" ref="E6:E7" si="0">C6-D6</f>
        <v>-45029.03</v>
      </c>
    </row>
    <row r="7" spans="1:5" ht="12" thickBot="1" x14ac:dyDescent="0.25">
      <c r="A7" s="16" t="s">
        <v>884</v>
      </c>
      <c r="B7" s="1" t="s">
        <v>881</v>
      </c>
      <c r="C7" s="82">
        <f>SUMIF(DATA!R:R,A7,DATA!O:O)</f>
        <v>19619.36</v>
      </c>
      <c r="D7" s="82">
        <f>SUMIF(DATA!R:R,A7,DATA!N:N)</f>
        <v>48097.68</v>
      </c>
      <c r="E7" s="28">
        <f t="shared" si="0"/>
        <v>-28478.32</v>
      </c>
    </row>
    <row r="8" spans="1:5" ht="12" thickBot="1" x14ac:dyDescent="0.25">
      <c r="B8" s="81" t="s">
        <v>117</v>
      </c>
      <c r="C8" s="12">
        <f>SUM(C5:C7)</f>
        <v>59926.91</v>
      </c>
      <c r="D8" s="12">
        <f>SUM(D5:D7)</f>
        <v>340458.07</v>
      </c>
      <c r="E8" s="13">
        <f>SUM(E5:E7)</f>
        <v>-280531.15999999997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2:G19"/>
  <sheetViews>
    <sheetView workbookViewId="0">
      <selection activeCell="E1" sqref="E1:G1048576"/>
    </sheetView>
  </sheetViews>
  <sheetFormatPr defaultColWidth="9.125" defaultRowHeight="11.25" x14ac:dyDescent="0.2"/>
  <cols>
    <col min="1" max="3" width="9.125" style="16"/>
    <col min="4" max="4" width="50.125" style="16" customWidth="1"/>
    <col min="5" max="7" width="14.125" style="16" customWidth="1"/>
    <col min="8" max="16384" width="9.125" style="16"/>
  </cols>
  <sheetData>
    <row r="2" spans="3:7" ht="12" thickBot="1" x14ac:dyDescent="0.25"/>
    <row r="3" spans="3:7" ht="12" thickBot="1" x14ac:dyDescent="0.25">
      <c r="D3" s="14" t="s">
        <v>1395</v>
      </c>
      <c r="E3" s="436">
        <v>42369</v>
      </c>
      <c r="F3" s="436">
        <v>42004</v>
      </c>
      <c r="G3" s="17" t="s">
        <v>50</v>
      </c>
    </row>
    <row r="4" spans="3:7" x14ac:dyDescent="0.2">
      <c r="C4" s="16" t="s">
        <v>1029</v>
      </c>
      <c r="D4" s="3" t="s">
        <v>574</v>
      </c>
      <c r="E4" s="322">
        <f>-SUMIF(DATA!R:R,C4,DATA!O:O)</f>
        <v>26202420.450000007</v>
      </c>
      <c r="F4" s="322">
        <f>-SUMIF(DATA!R:R,C4,DATA!N:N)</f>
        <v>26420434.629999992</v>
      </c>
      <c r="G4" s="323">
        <f>E4-F4</f>
        <v>-218014.1799999848</v>
      </c>
    </row>
    <row r="5" spans="3:7" x14ac:dyDescent="0.2">
      <c r="C5" s="16" t="s">
        <v>1030</v>
      </c>
      <c r="D5" s="1" t="s">
        <v>144</v>
      </c>
      <c r="E5" s="324">
        <f>-SUMIF(DATA!R:R,C5,DATA!O:O)</f>
        <v>104883.41</v>
      </c>
      <c r="F5" s="324">
        <f>-SUMIF(DATA!R:R,C5,DATA!N:N)</f>
        <v>156603.77000000002</v>
      </c>
      <c r="G5" s="325">
        <f>E5-F5</f>
        <v>-51720.360000000015</v>
      </c>
    </row>
    <row r="6" spans="3:7" ht="12" thickBot="1" x14ac:dyDescent="0.25">
      <c r="D6" s="1"/>
      <c r="E6" s="324"/>
      <c r="F6" s="324"/>
      <c r="G6" s="325"/>
    </row>
    <row r="7" spans="3:7" ht="12" thickBot="1" x14ac:dyDescent="0.25">
      <c r="D7" s="183" t="s">
        <v>1065</v>
      </c>
      <c r="E7" s="326">
        <f>SUM(E4:E6)</f>
        <v>26307303.860000007</v>
      </c>
      <c r="F7" s="326">
        <f>SUM(F4:F6)</f>
        <v>26577038.399999991</v>
      </c>
      <c r="G7" s="327">
        <f>SUM(G4:G6)</f>
        <v>-269734.53999998479</v>
      </c>
    </row>
    <row r="8" spans="3:7" x14ac:dyDescent="0.2">
      <c r="E8" s="215"/>
      <c r="F8" s="215"/>
      <c r="G8" s="215"/>
    </row>
    <row r="9" spans="3:7" x14ac:dyDescent="0.2">
      <c r="E9" s="215"/>
      <c r="F9" s="215"/>
      <c r="G9" s="215"/>
    </row>
    <row r="10" spans="3:7" x14ac:dyDescent="0.2">
      <c r="E10" s="215"/>
      <c r="F10" s="215"/>
      <c r="G10" s="215"/>
    </row>
    <row r="11" spans="3:7" x14ac:dyDescent="0.2">
      <c r="E11" s="215"/>
      <c r="F11" s="215"/>
      <c r="G11" s="215"/>
    </row>
    <row r="12" spans="3:7" ht="12" thickBot="1" x14ac:dyDescent="0.25">
      <c r="E12" s="215"/>
      <c r="F12" s="215"/>
      <c r="G12" s="215"/>
    </row>
    <row r="13" spans="3:7" ht="12" thickBot="1" x14ac:dyDescent="0.25">
      <c r="D13" s="14" t="s">
        <v>1395</v>
      </c>
      <c r="E13" s="436">
        <v>42369</v>
      </c>
      <c r="F13" s="436">
        <v>42004</v>
      </c>
      <c r="G13" s="227" t="s">
        <v>50</v>
      </c>
    </row>
    <row r="14" spans="3:7" x14ac:dyDescent="0.2">
      <c r="C14" s="16" t="s">
        <v>1031</v>
      </c>
      <c r="D14" s="3" t="s">
        <v>598</v>
      </c>
      <c r="E14" s="322">
        <f>-SUMIF(DATA!R:R,C14,DATA!O:O)</f>
        <v>56277.66</v>
      </c>
      <c r="F14" s="322">
        <f>-SUMIF(DATA!R:R,C14,DATA!N:N)</f>
        <v>41291.99</v>
      </c>
      <c r="G14" s="323">
        <f>E14-F14</f>
        <v>14985.670000000006</v>
      </c>
    </row>
    <row r="15" spans="3:7" x14ac:dyDescent="0.2">
      <c r="C15" s="16" t="s">
        <v>1032</v>
      </c>
      <c r="D15" s="1" t="s">
        <v>1066</v>
      </c>
      <c r="E15" s="324">
        <f>-SUMIF(DATA!R:R,C15,DATA!O:O)</f>
        <v>148448</v>
      </c>
      <c r="F15" s="324">
        <f>-SUMIF(DATA!R:R,C15,DATA!N:N)</f>
        <v>0</v>
      </c>
      <c r="G15" s="325">
        <f>E15-F15</f>
        <v>148448</v>
      </c>
    </row>
    <row r="16" spans="3:7" x14ac:dyDescent="0.2">
      <c r="C16" s="16" t="s">
        <v>1033</v>
      </c>
      <c r="D16" s="1" t="s">
        <v>1067</v>
      </c>
      <c r="E16" s="324">
        <f>-SUMIF(DATA!R:R,C16,DATA!O:O)</f>
        <v>368268.25114631094</v>
      </c>
      <c r="F16" s="324">
        <f>-SUMIF(DATA!R:R,C16,DATA!N:N)</f>
        <v>143059.93924175191</v>
      </c>
      <c r="G16" s="325">
        <f>E16-F16</f>
        <v>225208.31190455903</v>
      </c>
    </row>
    <row r="17" spans="3:7" x14ac:dyDescent="0.2">
      <c r="C17" s="16" t="s">
        <v>1034</v>
      </c>
      <c r="D17" s="1" t="s">
        <v>145</v>
      </c>
      <c r="E17" s="324">
        <f>-SUMIF(DATA!R:R,C17,DATA!O:O)</f>
        <v>64212.42</v>
      </c>
      <c r="F17" s="324">
        <f>-SUMIF(DATA!R:R,C17,DATA!N:N)</f>
        <v>161136.21</v>
      </c>
      <c r="G17" s="325">
        <f>E17-F17</f>
        <v>-96923.79</v>
      </c>
    </row>
    <row r="18" spans="3:7" ht="5.25" customHeight="1" thickBot="1" x14ac:dyDescent="0.25">
      <c r="D18" s="1"/>
      <c r="E18" s="324"/>
      <c r="F18" s="324"/>
      <c r="G18" s="325"/>
    </row>
    <row r="19" spans="3:7" ht="12" thickBot="1" x14ac:dyDescent="0.25">
      <c r="D19" s="183" t="s">
        <v>1068</v>
      </c>
      <c r="E19" s="326">
        <f>SUM(E14:E18)</f>
        <v>637206.33114631101</v>
      </c>
      <c r="F19" s="326">
        <f>SUM(F14:F18)</f>
        <v>345488.13924175187</v>
      </c>
      <c r="G19" s="327">
        <f>SUM(G14:G18)</f>
        <v>291718.19190455909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2:G17"/>
  <sheetViews>
    <sheetView workbookViewId="0">
      <selection activeCell="E1" sqref="E1:G1048576"/>
    </sheetView>
  </sheetViews>
  <sheetFormatPr defaultColWidth="9.125" defaultRowHeight="11.25" x14ac:dyDescent="0.2"/>
  <cols>
    <col min="1" max="3" width="9.125" style="16"/>
    <col min="4" max="4" width="50.125" style="16" customWidth="1"/>
    <col min="5" max="7" width="14.125" style="16" customWidth="1"/>
    <col min="8" max="16384" width="9.125" style="16"/>
  </cols>
  <sheetData>
    <row r="2" spans="3:7" ht="12" thickBot="1" x14ac:dyDescent="0.25"/>
    <row r="3" spans="3:7" ht="12" thickBot="1" x14ac:dyDescent="0.25">
      <c r="D3" s="14" t="s">
        <v>1395</v>
      </c>
      <c r="E3" s="436">
        <v>42369</v>
      </c>
      <c r="F3" s="436">
        <v>42004</v>
      </c>
      <c r="G3" s="184" t="s">
        <v>50</v>
      </c>
    </row>
    <row r="4" spans="3:7" x14ac:dyDescent="0.2">
      <c r="C4" s="16" t="s">
        <v>1035</v>
      </c>
      <c r="D4" s="3" t="s">
        <v>1069</v>
      </c>
      <c r="E4" s="322">
        <f>SUMIF(DATA!R:R,C4,DATA!O:O)</f>
        <v>-141236</v>
      </c>
      <c r="F4" s="322">
        <f>SUMIF(DATA!R:R,C4,DATA!N:N)</f>
        <v>-47702</v>
      </c>
      <c r="G4" s="323">
        <f>E4-F4</f>
        <v>-93534</v>
      </c>
    </row>
    <row r="5" spans="3:7" x14ac:dyDescent="0.2">
      <c r="C5" s="16" t="s">
        <v>1036</v>
      </c>
      <c r="D5" s="1" t="s">
        <v>1070</v>
      </c>
      <c r="E5" s="324">
        <f>SUMIF(DATA!R:R,C5,DATA!O:O)</f>
        <v>15766498.509999998</v>
      </c>
      <c r="F5" s="324">
        <f>SUMIF(DATA!R:R,C5,DATA!N:N)</f>
        <v>15264190.599999998</v>
      </c>
      <c r="G5" s="325">
        <f>E5-F5</f>
        <v>502307.91000000015</v>
      </c>
    </row>
    <row r="6" spans="3:7" ht="6.75" customHeight="1" thickBot="1" x14ac:dyDescent="0.25">
      <c r="D6" s="1"/>
      <c r="E6" s="324"/>
      <c r="F6" s="324"/>
      <c r="G6" s="325"/>
    </row>
    <row r="7" spans="3:7" ht="12" thickBot="1" x14ac:dyDescent="0.25">
      <c r="D7" s="183" t="s">
        <v>1071</v>
      </c>
      <c r="E7" s="326">
        <f>SUM(E4:E6)</f>
        <v>15625262.509999998</v>
      </c>
      <c r="F7" s="326">
        <f>SUM(F4:F6)</f>
        <v>15216488.599999998</v>
      </c>
      <c r="G7" s="327">
        <f>SUM(G4:G6)</f>
        <v>408773.91000000015</v>
      </c>
    </row>
    <row r="8" spans="3:7" x14ac:dyDescent="0.2">
      <c r="E8" s="215"/>
      <c r="F8" s="215"/>
      <c r="G8" s="215"/>
    </row>
    <row r="9" spans="3:7" x14ac:dyDescent="0.2">
      <c r="E9" s="215"/>
      <c r="F9" s="215"/>
      <c r="G9" s="215"/>
    </row>
    <row r="10" spans="3:7" x14ac:dyDescent="0.2">
      <c r="E10" s="215"/>
      <c r="F10" s="215"/>
      <c r="G10" s="215"/>
    </row>
    <row r="11" spans="3:7" x14ac:dyDescent="0.2">
      <c r="E11" s="215"/>
      <c r="F11" s="215"/>
      <c r="G11" s="215"/>
    </row>
    <row r="12" spans="3:7" ht="12" thickBot="1" x14ac:dyDescent="0.25">
      <c r="E12" s="215"/>
      <c r="F12" s="215"/>
      <c r="G12" s="215"/>
    </row>
    <row r="13" spans="3:7" ht="12" thickBot="1" x14ac:dyDescent="0.25">
      <c r="D13" s="14" t="s">
        <v>1395</v>
      </c>
      <c r="E13" s="436">
        <v>42369</v>
      </c>
      <c r="F13" s="436">
        <v>42004</v>
      </c>
      <c r="G13" s="227" t="s">
        <v>50</v>
      </c>
    </row>
    <row r="14" spans="3:7" x14ac:dyDescent="0.2">
      <c r="C14" s="16" t="s">
        <v>1037</v>
      </c>
      <c r="D14" s="3" t="s">
        <v>1072</v>
      </c>
      <c r="E14" s="322">
        <f>SUMIF(DATA!R:R,C14,DATA!O:O)</f>
        <v>6709708.0499999998</v>
      </c>
      <c r="F14" s="322">
        <f>SUMIF(DATA!R:R,C14,DATA!N:N)</f>
        <v>6698659.2600000007</v>
      </c>
      <c r="G14" s="323">
        <f>E14-F14</f>
        <v>11048.789999999106</v>
      </c>
    </row>
    <row r="15" spans="3:7" x14ac:dyDescent="0.2">
      <c r="C15" s="16" t="s">
        <v>1038</v>
      </c>
      <c r="D15" s="1" t="s">
        <v>1073</v>
      </c>
      <c r="E15" s="324">
        <f>SUMIF(DATA!R:R,C15,DATA!O:O)</f>
        <v>191477.14999999997</v>
      </c>
      <c r="F15" s="324">
        <f>SUMIF(DATA!R:R,C15,DATA!N:N)</f>
        <v>321136.65000000008</v>
      </c>
      <c r="G15" s="325">
        <f>E15-F15</f>
        <v>-129659.50000000012</v>
      </c>
    </row>
    <row r="16" spans="3:7" ht="5.25" customHeight="1" thickBot="1" x14ac:dyDescent="0.25">
      <c r="D16" s="1"/>
      <c r="E16" s="324"/>
      <c r="F16" s="324"/>
      <c r="G16" s="325"/>
    </row>
    <row r="17" spans="4:7" ht="12" thickBot="1" x14ac:dyDescent="0.25">
      <c r="D17" s="183" t="s">
        <v>1074</v>
      </c>
      <c r="E17" s="326">
        <f>SUM(E14:E16)</f>
        <v>6901185.2000000002</v>
      </c>
      <c r="F17" s="326">
        <f>SUM(F14:F16)</f>
        <v>7019795.9100000011</v>
      </c>
      <c r="G17" s="327">
        <f>SUM(G14:G16)</f>
        <v>-118610.71000000101</v>
      </c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2:H7"/>
  <sheetViews>
    <sheetView zoomScale="110" zoomScaleNormal="110" workbookViewId="0">
      <selection activeCell="N34" sqref="N34"/>
    </sheetView>
  </sheetViews>
  <sheetFormatPr defaultColWidth="9.125" defaultRowHeight="11.25" x14ac:dyDescent="0.2"/>
  <cols>
    <col min="1" max="4" width="9.125" style="16"/>
    <col min="5" max="5" width="49.875" style="16" customWidth="1"/>
    <col min="6" max="8" width="14.125" style="16" customWidth="1"/>
    <col min="9" max="16384" width="9.125" style="16"/>
  </cols>
  <sheetData>
    <row r="2" spans="4:8" ht="12" thickBot="1" x14ac:dyDescent="0.25"/>
    <row r="3" spans="4:8" ht="12" thickBot="1" x14ac:dyDescent="0.25">
      <c r="E3" s="14" t="s">
        <v>1395</v>
      </c>
      <c r="F3" s="436">
        <v>42369</v>
      </c>
      <c r="G3" s="436">
        <v>42004</v>
      </c>
      <c r="H3" s="39" t="s">
        <v>50</v>
      </c>
    </row>
    <row r="4" spans="4:8" x14ac:dyDescent="0.2">
      <c r="D4" s="16" t="s">
        <v>1039</v>
      </c>
      <c r="E4" s="3" t="s">
        <v>1090</v>
      </c>
      <c r="F4" s="185">
        <f>SUMIF(DATA!R:R,D4,DATA!O:O)</f>
        <v>2231358.9400000004</v>
      </c>
      <c r="G4" s="185">
        <f>SUMIF(DATA!R:R,D4,DATA!N:N)</f>
        <v>2066866.9400000002</v>
      </c>
      <c r="H4" s="186">
        <f>F4-G4</f>
        <v>164492.00000000023</v>
      </c>
    </row>
    <row r="5" spans="4:8" x14ac:dyDescent="0.2">
      <c r="D5" s="16" t="s">
        <v>1040</v>
      </c>
      <c r="E5" s="1" t="s">
        <v>146</v>
      </c>
      <c r="F5" s="187">
        <f>SUMIF(DATA!R:R,D5,DATA!O:O)</f>
        <v>613516.04999999993</v>
      </c>
      <c r="G5" s="187">
        <f>SUMIF(DATA!R:R,D5,DATA!N:N)</f>
        <v>583734.73</v>
      </c>
      <c r="H5" s="188">
        <f t="shared" ref="H5:H6" si="0">F5-G5</f>
        <v>29781.319999999949</v>
      </c>
    </row>
    <row r="6" spans="4:8" ht="12" thickBot="1" x14ac:dyDescent="0.25">
      <c r="D6" s="16" t="s">
        <v>1041</v>
      </c>
      <c r="E6" s="1" t="s">
        <v>147</v>
      </c>
      <c r="F6" s="187">
        <f>SUMIF(DATA!R:R,D6,DATA!O:O)</f>
        <v>142047.75</v>
      </c>
      <c r="G6" s="187">
        <f>SUMIF(DATA!R:R,D6,DATA!N:N)</f>
        <v>141140.10999999999</v>
      </c>
      <c r="H6" s="188">
        <f t="shared" si="0"/>
        <v>907.64000000001397</v>
      </c>
    </row>
    <row r="7" spans="4:8" ht="12" thickBot="1" x14ac:dyDescent="0.25">
      <c r="E7" s="183" t="s">
        <v>117</v>
      </c>
      <c r="F7" s="189">
        <f>SUM(F4:F6)</f>
        <v>2986922.74</v>
      </c>
      <c r="G7" s="189">
        <f>SUM(G4:G6)</f>
        <v>2791741.78</v>
      </c>
      <c r="H7" s="190">
        <f>SUM(H4:H6)</f>
        <v>195180.9600000002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7"/>
  <sheetViews>
    <sheetView workbookViewId="0">
      <selection activeCell="D1" sqref="D1:F1048576"/>
    </sheetView>
  </sheetViews>
  <sheetFormatPr defaultColWidth="9.125" defaultRowHeight="11.25" x14ac:dyDescent="0.2"/>
  <cols>
    <col min="1" max="2" width="9.125" style="16"/>
    <col min="3" max="3" width="50.25" style="16" customWidth="1"/>
    <col min="4" max="6" width="14.125" style="16" customWidth="1"/>
    <col min="7" max="16384" width="9.125" style="16"/>
  </cols>
  <sheetData>
    <row r="2" spans="2:6" ht="12" thickBot="1" x14ac:dyDescent="0.25"/>
    <row r="3" spans="2:6" ht="12" thickBot="1" x14ac:dyDescent="0.25">
      <c r="C3" s="14" t="s">
        <v>1395</v>
      </c>
      <c r="D3" s="436">
        <v>42369</v>
      </c>
      <c r="E3" s="436">
        <v>42004</v>
      </c>
      <c r="F3" s="158" t="s">
        <v>50</v>
      </c>
    </row>
    <row r="4" spans="2:6" x14ac:dyDescent="0.2">
      <c r="B4" s="16" t="s">
        <v>1043</v>
      </c>
      <c r="C4" s="3" t="s">
        <v>1075</v>
      </c>
      <c r="D4" s="185">
        <f>SUMIF(DATA!R:R,B4,DATA!O:O)</f>
        <v>7128.9700000000012</v>
      </c>
      <c r="E4" s="185">
        <f>SUMIF(DATA!R:R,B4,DATA!N:N)</f>
        <v>4294.5499999999884</v>
      </c>
      <c r="F4" s="186">
        <f>D4-E4</f>
        <v>2834.4200000000128</v>
      </c>
    </row>
    <row r="5" spans="2:6" x14ac:dyDescent="0.2">
      <c r="B5" s="16" t="s">
        <v>1042</v>
      </c>
      <c r="C5" s="1" t="s">
        <v>1076</v>
      </c>
      <c r="D5" s="187">
        <f>SUMIF(DATA!R:R,B5,DATA!O:O)</f>
        <v>907596.40772488376</v>
      </c>
      <c r="E5" s="187">
        <f>SUMIF(DATA!R:R,B5,DATA!N:N)</f>
        <v>686486.68075037387</v>
      </c>
      <c r="F5" s="188">
        <f t="shared" ref="F5" si="0">D5-E5</f>
        <v>221109.72697450989</v>
      </c>
    </row>
    <row r="6" spans="2:6" ht="12" thickBot="1" x14ac:dyDescent="0.25">
      <c r="B6" s="16" t="s">
        <v>1044</v>
      </c>
      <c r="C6" s="1" t="s">
        <v>1077</v>
      </c>
      <c r="D6" s="187">
        <f>SUMIF(DATA!R:R,B6,DATA!O:O)</f>
        <v>35165.53</v>
      </c>
      <c r="E6" s="187">
        <f>SUMIF(DATA!R:R,B6,DATA!N:N)</f>
        <v>120972.09</v>
      </c>
      <c r="F6" s="188">
        <f>D6-E6</f>
        <v>-85806.56</v>
      </c>
    </row>
    <row r="7" spans="2:6" ht="12" thickBot="1" x14ac:dyDescent="0.25">
      <c r="C7" s="183" t="s">
        <v>117</v>
      </c>
      <c r="D7" s="189">
        <f>SUM(D4:D6)</f>
        <v>949890.90772488376</v>
      </c>
      <c r="E7" s="189">
        <f>SUM(E4:E6)</f>
        <v>811753.32075037376</v>
      </c>
      <c r="F7" s="190">
        <f>SUM(F4:F6)</f>
        <v>138137.5869745099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10"/>
  <sheetViews>
    <sheetView workbookViewId="0">
      <selection activeCell="D1" sqref="D1:F1048576"/>
    </sheetView>
  </sheetViews>
  <sheetFormatPr defaultColWidth="9.125" defaultRowHeight="11.25" x14ac:dyDescent="0.2"/>
  <cols>
    <col min="1" max="2" width="9.125" style="16"/>
    <col min="3" max="3" width="50.25" style="16" customWidth="1"/>
    <col min="4" max="6" width="14.125" style="16" customWidth="1"/>
    <col min="7" max="16384" width="9.125" style="16"/>
  </cols>
  <sheetData>
    <row r="2" spans="2:6" ht="12" thickBot="1" x14ac:dyDescent="0.25"/>
    <row r="3" spans="2:6" ht="12" thickBot="1" x14ac:dyDescent="0.25">
      <c r="C3" s="14" t="s">
        <v>1395</v>
      </c>
      <c r="D3" s="436">
        <v>42369</v>
      </c>
      <c r="E3" s="436">
        <v>42004</v>
      </c>
      <c r="F3" s="158" t="s">
        <v>50</v>
      </c>
    </row>
    <row r="4" spans="2:6" x14ac:dyDescent="0.2">
      <c r="B4" s="16" t="s">
        <v>1047</v>
      </c>
      <c r="C4" s="3" t="s">
        <v>783</v>
      </c>
      <c r="D4" s="322">
        <f>SUMIF(DATA!R:R,B4,DATA!O:O)</f>
        <v>0</v>
      </c>
      <c r="E4" s="322">
        <f>SUMIF(DATA!R:R,B4,DATA!N:N)</f>
        <v>142279.31</v>
      </c>
      <c r="F4" s="323">
        <f>D4-E4</f>
        <v>-142279.31</v>
      </c>
    </row>
    <row r="5" spans="2:6" x14ac:dyDescent="0.2">
      <c r="B5" s="16" t="s">
        <v>1046</v>
      </c>
      <c r="C5" s="1" t="s">
        <v>1078</v>
      </c>
      <c r="D5" s="324">
        <f>SUMIF(DATA!R:R,B5,DATA!O:O)</f>
        <v>48766</v>
      </c>
      <c r="E5" s="324">
        <f>SUMIF(DATA!R:R,B5,DATA!N:N)</f>
        <v>48310</v>
      </c>
      <c r="F5" s="325">
        <f t="shared" ref="F5:F9" si="0">D5-E5</f>
        <v>456</v>
      </c>
    </row>
    <row r="6" spans="2:6" x14ac:dyDescent="0.2">
      <c r="B6" s="16" t="s">
        <v>1045</v>
      </c>
      <c r="C6" s="1" t="s">
        <v>1079</v>
      </c>
      <c r="D6" s="324">
        <f>SUMIF(DATA!R:R,B6,DATA!O:O)</f>
        <v>38551.289999999994</v>
      </c>
      <c r="E6" s="324">
        <f>SUMIF(DATA!R:R,B6,DATA!N:N)</f>
        <v>53264.80999999999</v>
      </c>
      <c r="F6" s="325">
        <f t="shared" si="0"/>
        <v>-14713.519999999997</v>
      </c>
    </row>
    <row r="7" spans="2:6" x14ac:dyDescent="0.2">
      <c r="B7" s="16" t="s">
        <v>1052</v>
      </c>
      <c r="C7" s="1" t="s">
        <v>808</v>
      </c>
      <c r="D7" s="324">
        <f>SUMIF(DATA!R:R,B7,DATA!O:O)</f>
        <v>29774.95</v>
      </c>
      <c r="E7" s="324">
        <f>SUMIF(DATA!R:R,B7,DATA!N:N)</f>
        <v>106994.17</v>
      </c>
      <c r="F7" s="325">
        <f t="shared" si="0"/>
        <v>-77219.22</v>
      </c>
    </row>
    <row r="8" spans="2:6" x14ac:dyDescent="0.2">
      <c r="B8" s="16" t="s">
        <v>1049</v>
      </c>
      <c r="C8" s="1" t="s">
        <v>1080</v>
      </c>
      <c r="D8" s="324">
        <f>SUMIF(DATA!R:R,B8,DATA!O:O)</f>
        <v>116016.04</v>
      </c>
      <c r="E8" s="324">
        <f>SUMIF(DATA!R:R,B8,DATA!N:N)</f>
        <v>168728.85</v>
      </c>
      <c r="F8" s="325">
        <f t="shared" si="0"/>
        <v>-52712.810000000012</v>
      </c>
    </row>
    <row r="9" spans="2:6" ht="12" thickBot="1" x14ac:dyDescent="0.25">
      <c r="B9" s="16" t="s">
        <v>1048</v>
      </c>
      <c r="C9" s="4" t="s">
        <v>91</v>
      </c>
      <c r="D9" s="328">
        <f>SUMIF(DATA!R:R,B9,DATA!O:O)</f>
        <v>111974.29000000001</v>
      </c>
      <c r="E9" s="328">
        <f>SUMIF(DATA!R:R,B9,DATA!N:N)</f>
        <v>155089.9</v>
      </c>
      <c r="F9" s="329">
        <f t="shared" si="0"/>
        <v>-43115.609999999986</v>
      </c>
    </row>
    <row r="10" spans="2:6" ht="12" thickBot="1" x14ac:dyDescent="0.25">
      <c r="C10" s="183" t="s">
        <v>117</v>
      </c>
      <c r="D10" s="330">
        <f>SUM(D4:D9)</f>
        <v>345082.56999999995</v>
      </c>
      <c r="E10" s="330">
        <f>SUM(E4:E9)</f>
        <v>674667.04</v>
      </c>
      <c r="F10" s="331">
        <f>SUM(F4:F9)</f>
        <v>-329584.46999999997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25"/>
  <sheetViews>
    <sheetView workbookViewId="0">
      <selection activeCell="D1" sqref="D1:F1048576"/>
    </sheetView>
  </sheetViews>
  <sheetFormatPr defaultColWidth="9.125" defaultRowHeight="11.25" x14ac:dyDescent="0.2"/>
  <cols>
    <col min="1" max="2" width="9.125" style="16"/>
    <col min="3" max="3" width="50.125" style="16" customWidth="1"/>
    <col min="4" max="6" width="14.125" style="16" customWidth="1"/>
    <col min="7" max="16384" width="9.125" style="16"/>
  </cols>
  <sheetData>
    <row r="2" spans="2:6" ht="12" thickBot="1" x14ac:dyDescent="0.25"/>
    <row r="3" spans="2:6" ht="12" thickBot="1" x14ac:dyDescent="0.25">
      <c r="C3" s="14" t="s">
        <v>1395</v>
      </c>
      <c r="D3" s="436">
        <v>42369</v>
      </c>
      <c r="E3" s="436">
        <v>42004</v>
      </c>
      <c r="F3" s="332" t="s">
        <v>50</v>
      </c>
    </row>
    <row r="4" spans="2:6" x14ac:dyDescent="0.2">
      <c r="B4" s="16" t="s">
        <v>1050</v>
      </c>
      <c r="C4" s="3" t="s">
        <v>92</v>
      </c>
      <c r="D4" s="322">
        <f>-SUMIF(DATA!R:R,B4,DATA!O:O)</f>
        <v>17803.810000000016</v>
      </c>
      <c r="E4" s="322">
        <f>-SUMIF(DATA!R:R,B4,DATA!N:N)</f>
        <v>34044.600000000006</v>
      </c>
      <c r="F4" s="323">
        <f>D4-E4</f>
        <v>-16240.78999999999</v>
      </c>
    </row>
    <row r="5" spans="2:6" ht="12" thickBot="1" x14ac:dyDescent="0.25">
      <c r="B5" s="16" t="s">
        <v>1051</v>
      </c>
      <c r="C5" s="1" t="s">
        <v>93</v>
      </c>
      <c r="D5" s="324">
        <f>SUMIF(DATA!R:R,B5,DATA!O:O)</f>
        <v>781947.39999999991</v>
      </c>
      <c r="E5" s="324">
        <f>SUMIF(DATA!R:R,B5,DATA!N:N)</f>
        <v>808710.59</v>
      </c>
      <c r="F5" s="325">
        <f t="shared" ref="F5" si="0">D5-E5</f>
        <v>-26763.190000000061</v>
      </c>
    </row>
    <row r="6" spans="2:6" ht="12" thickBot="1" x14ac:dyDescent="0.25">
      <c r="C6" s="19" t="s">
        <v>117</v>
      </c>
      <c r="D6" s="326">
        <f>D4-D5</f>
        <v>-764143.58999999985</v>
      </c>
      <c r="E6" s="326">
        <f>E4-E5</f>
        <v>-774665.99</v>
      </c>
      <c r="F6" s="327">
        <f>D6-E6</f>
        <v>10522.40000000014</v>
      </c>
    </row>
    <row r="7" spans="2:6" x14ac:dyDescent="0.2">
      <c r="D7" s="215"/>
      <c r="E7" s="215"/>
      <c r="F7" s="215"/>
    </row>
    <row r="8" spans="2:6" x14ac:dyDescent="0.2">
      <c r="D8" s="215"/>
      <c r="E8" s="215"/>
      <c r="F8" s="215"/>
    </row>
    <row r="9" spans="2:6" x14ac:dyDescent="0.2">
      <c r="D9" s="215"/>
      <c r="E9" s="215"/>
      <c r="F9" s="215"/>
    </row>
    <row r="10" spans="2:6" x14ac:dyDescent="0.2">
      <c r="D10" s="215"/>
      <c r="E10" s="215"/>
      <c r="F10" s="215"/>
    </row>
    <row r="11" spans="2:6" x14ac:dyDescent="0.2">
      <c r="D11" s="215"/>
      <c r="E11" s="215"/>
      <c r="F11" s="215"/>
    </row>
    <row r="12" spans="2:6" ht="12" thickBot="1" x14ac:dyDescent="0.25">
      <c r="D12" s="215"/>
      <c r="E12" s="215"/>
      <c r="F12" s="215"/>
    </row>
    <row r="13" spans="2:6" ht="12" thickBot="1" x14ac:dyDescent="0.25">
      <c r="C13" s="14" t="s">
        <v>1395</v>
      </c>
      <c r="D13" s="436">
        <v>42369</v>
      </c>
      <c r="E13" s="436">
        <v>42004</v>
      </c>
      <c r="F13" s="332" t="s">
        <v>50</v>
      </c>
    </row>
    <row r="14" spans="2:6" x14ac:dyDescent="0.2">
      <c r="C14" s="3" t="s">
        <v>92</v>
      </c>
      <c r="D14" s="322"/>
      <c r="E14" s="322"/>
      <c r="F14" s="323"/>
    </row>
    <row r="15" spans="2:6" x14ac:dyDescent="0.2">
      <c r="B15" s="16" t="s">
        <v>1056</v>
      </c>
      <c r="C15" s="1" t="s">
        <v>1081</v>
      </c>
      <c r="D15" s="324">
        <f>-SUMIF(DATA!S:S,B15,DATA!O:O)</f>
        <v>2342.44</v>
      </c>
      <c r="E15" s="324">
        <f>-SUMIF(DATA!S:S,B15,DATA!N:N)</f>
        <v>4618.4799999999996</v>
      </c>
      <c r="F15" s="325">
        <f t="shared" ref="F15:F16" si="1">D15-E15</f>
        <v>-2276.0399999999995</v>
      </c>
    </row>
    <row r="16" spans="2:6" x14ac:dyDescent="0.2">
      <c r="B16" s="16" t="s">
        <v>1057</v>
      </c>
      <c r="C16" s="1" t="s">
        <v>797</v>
      </c>
      <c r="D16" s="324">
        <f>-SUMIF(DATA!S:S,B16,DATA!O:O)</f>
        <v>15461.370000000017</v>
      </c>
      <c r="E16" s="324">
        <f>-SUMIF(DATA!S:S,B16,DATA!N:N)</f>
        <v>29426.120000000006</v>
      </c>
      <c r="F16" s="325">
        <f t="shared" si="1"/>
        <v>-13964.749999999989</v>
      </c>
    </row>
    <row r="17" spans="2:6" s="376" customFormat="1" x14ac:dyDescent="0.2">
      <c r="C17" s="377"/>
      <c r="D17" s="378">
        <f>SUM(D15:D16)</f>
        <v>17803.810000000016</v>
      </c>
      <c r="E17" s="378">
        <f t="shared" ref="E17:F17" si="2">SUM(E15:E16)</f>
        <v>34044.600000000006</v>
      </c>
      <c r="F17" s="379">
        <f t="shared" si="2"/>
        <v>-16240.789999999988</v>
      </c>
    </row>
    <row r="18" spans="2:6" x14ac:dyDescent="0.2">
      <c r="C18" s="1"/>
      <c r="D18" s="324"/>
      <c r="E18" s="324"/>
      <c r="F18" s="325"/>
    </row>
    <row r="19" spans="2:6" x14ac:dyDescent="0.2">
      <c r="C19" s="1" t="s">
        <v>93</v>
      </c>
      <c r="D19" s="324"/>
      <c r="E19" s="324"/>
      <c r="F19" s="325"/>
    </row>
    <row r="20" spans="2:6" x14ac:dyDescent="0.2">
      <c r="B20" s="16" t="s">
        <v>1058</v>
      </c>
      <c r="C20" s="1" t="s">
        <v>798</v>
      </c>
      <c r="D20" s="324">
        <f>-SUMIF(DATA!S:S,B20,DATA!O:O)</f>
        <v>-242024.13</v>
      </c>
      <c r="E20" s="324">
        <f>-SUMIF(DATA!S:S,B20,DATA!N:N)</f>
        <v>-162200.32000000001</v>
      </c>
      <c r="F20" s="325">
        <f t="shared" ref="F20:F22" si="3">D20-E20</f>
        <v>-79823.81</v>
      </c>
    </row>
    <row r="21" spans="2:6" x14ac:dyDescent="0.2">
      <c r="B21" s="16" t="s">
        <v>1059</v>
      </c>
      <c r="C21" s="1" t="s">
        <v>1082</v>
      </c>
      <c r="D21" s="324">
        <f>-SUMIF(DATA!S:S,B21,DATA!O:O)</f>
        <v>-464892.5</v>
      </c>
      <c r="E21" s="324">
        <f>-SUMIF(DATA!S:S,B21,DATA!N:N)</f>
        <v>-602718.41999999993</v>
      </c>
      <c r="F21" s="325">
        <f t="shared" si="3"/>
        <v>137825.91999999993</v>
      </c>
    </row>
    <row r="22" spans="2:6" x14ac:dyDescent="0.2">
      <c r="B22" s="16" t="s">
        <v>1060</v>
      </c>
      <c r="C22" s="1" t="s">
        <v>1083</v>
      </c>
      <c r="D22" s="324">
        <f>-SUMIF(DATA!S:S,B22,DATA!O:O)</f>
        <v>-75030.77</v>
      </c>
      <c r="E22" s="324">
        <f>-SUMIF(DATA!S:S,B22,DATA!N:N)</f>
        <v>-43791.850000000006</v>
      </c>
      <c r="F22" s="325">
        <f t="shared" si="3"/>
        <v>-31238.92</v>
      </c>
    </row>
    <row r="23" spans="2:6" s="376" customFormat="1" x14ac:dyDescent="0.2">
      <c r="C23" s="377"/>
      <c r="D23" s="378">
        <f>SUM(D20:D22)</f>
        <v>-781947.4</v>
      </c>
      <c r="E23" s="378">
        <f>SUM(E20:E22)</f>
        <v>-808710.59</v>
      </c>
      <c r="F23" s="379">
        <f>SUM(F20:F22)</f>
        <v>26763.18999999993</v>
      </c>
    </row>
    <row r="24" spans="2:6" ht="12" thickBot="1" x14ac:dyDescent="0.25">
      <c r="C24" s="4"/>
      <c r="D24" s="328"/>
      <c r="E24" s="328"/>
      <c r="F24" s="329"/>
    </row>
    <row r="25" spans="2:6" s="376" customFormat="1" ht="12" thickBot="1" x14ac:dyDescent="0.25">
      <c r="C25" s="183" t="s">
        <v>117</v>
      </c>
      <c r="D25" s="330">
        <f>D17+D23</f>
        <v>-764143.59</v>
      </c>
      <c r="E25" s="330">
        <f>E17+E23</f>
        <v>-774665.99</v>
      </c>
      <c r="F25" s="331">
        <f>F17+F23</f>
        <v>10522.399999999941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24"/>
  <sheetViews>
    <sheetView workbookViewId="0">
      <selection activeCell="D1" sqref="D1:F1048576"/>
    </sheetView>
  </sheetViews>
  <sheetFormatPr defaultColWidth="9.125" defaultRowHeight="11.25" x14ac:dyDescent="0.2"/>
  <cols>
    <col min="1" max="2" width="9.125" style="16"/>
    <col min="3" max="3" width="50.25" style="16" customWidth="1"/>
    <col min="4" max="6" width="14.125" style="16" customWidth="1"/>
    <col min="7" max="16384" width="9.125" style="16"/>
  </cols>
  <sheetData>
    <row r="2" spans="2:6" ht="12" thickBot="1" x14ac:dyDescent="0.25"/>
    <row r="3" spans="2:6" ht="12" thickBot="1" x14ac:dyDescent="0.25">
      <c r="C3" s="14" t="s">
        <v>1395</v>
      </c>
      <c r="D3" s="436">
        <v>42369</v>
      </c>
      <c r="E3" s="436">
        <v>42004</v>
      </c>
      <c r="F3" s="158" t="s">
        <v>50</v>
      </c>
    </row>
    <row r="4" spans="2:6" x14ac:dyDescent="0.2">
      <c r="B4" s="16" t="s">
        <v>1053</v>
      </c>
      <c r="C4" s="3" t="s">
        <v>1084</v>
      </c>
      <c r="D4" s="322">
        <f>SUMIF(DATA!R:R,B4,DATA!O:O)</f>
        <v>172641.94</v>
      </c>
      <c r="E4" s="322">
        <f>SUMIF(DATA!R:R,B4,DATA!N:N)</f>
        <v>230998</v>
      </c>
      <c r="F4" s="323">
        <f>D4-E4</f>
        <v>-58356.06</v>
      </c>
    </row>
    <row r="5" spans="2:6" ht="12" thickBot="1" x14ac:dyDescent="0.25">
      <c r="B5" s="16" t="s">
        <v>1054</v>
      </c>
      <c r="C5" s="1" t="s">
        <v>1085</v>
      </c>
      <c r="D5" s="324">
        <f>SUMIF(DATA!R:R,B5,DATA!O:O)</f>
        <v>-351727.71491761442</v>
      </c>
      <c r="E5" s="324">
        <f>SUMIF(DATA!R:R,B5,DATA!N:N)</f>
        <v>-99261.878363707307</v>
      </c>
      <c r="F5" s="325">
        <f t="shared" ref="F5" si="0">D5-E5</f>
        <v>-252465.83655390711</v>
      </c>
    </row>
    <row r="6" spans="2:6" ht="12" thickBot="1" x14ac:dyDescent="0.25">
      <c r="C6" s="183" t="s">
        <v>117</v>
      </c>
      <c r="D6" s="330">
        <f>SUM(D4:D5)</f>
        <v>-179085.77491761441</v>
      </c>
      <c r="E6" s="330">
        <f>SUM(E4:E5)</f>
        <v>131736.12163629269</v>
      </c>
      <c r="F6" s="331">
        <f>SUM(F4:F5)</f>
        <v>-310821.89655390708</v>
      </c>
    </row>
    <row r="7" spans="2:6" x14ac:dyDescent="0.2">
      <c r="D7" s="215"/>
      <c r="E7" s="215"/>
      <c r="F7" s="215"/>
    </row>
    <row r="8" spans="2:6" x14ac:dyDescent="0.2">
      <c r="D8" s="215"/>
      <c r="E8" s="215"/>
      <c r="F8" s="215"/>
    </row>
    <row r="9" spans="2:6" x14ac:dyDescent="0.2">
      <c r="D9" s="215"/>
      <c r="E9" s="215"/>
      <c r="F9" s="215"/>
    </row>
    <row r="10" spans="2:6" x14ac:dyDescent="0.2">
      <c r="D10" s="215"/>
      <c r="E10" s="215"/>
      <c r="F10" s="215"/>
    </row>
    <row r="11" spans="2:6" x14ac:dyDescent="0.2">
      <c r="D11" s="215"/>
      <c r="E11" s="215"/>
      <c r="F11" s="215"/>
    </row>
    <row r="12" spans="2:6" ht="12" thickBot="1" x14ac:dyDescent="0.25">
      <c r="D12" s="215"/>
      <c r="E12" s="215"/>
      <c r="F12" s="215"/>
    </row>
    <row r="13" spans="2:6" ht="12" thickBot="1" x14ac:dyDescent="0.25">
      <c r="C13" s="14" t="s">
        <v>1395</v>
      </c>
      <c r="D13" s="436">
        <v>42369</v>
      </c>
      <c r="E13" s="436">
        <v>42004</v>
      </c>
      <c r="F13" s="332" t="s">
        <v>50</v>
      </c>
    </row>
    <row r="14" spans="2:6" x14ac:dyDescent="0.2">
      <c r="C14" s="3" t="s">
        <v>1084</v>
      </c>
      <c r="D14" s="322"/>
      <c r="E14" s="322"/>
      <c r="F14" s="323"/>
    </row>
    <row r="15" spans="2:6" x14ac:dyDescent="0.2">
      <c r="B15" s="16" t="s">
        <v>1061</v>
      </c>
      <c r="C15" s="1" t="s">
        <v>1086</v>
      </c>
      <c r="D15" s="324">
        <f>SUMIF(DATA!S:S,B15,DATA!O:O)</f>
        <v>110358.77</v>
      </c>
      <c r="E15" s="324">
        <f>SUMIF(DATA!S:S,B15,DATA!N:N)</f>
        <v>111779</v>
      </c>
      <c r="F15" s="325">
        <f t="shared" ref="F15:F16" si="1">D15-E15</f>
        <v>-1420.2299999999959</v>
      </c>
    </row>
    <row r="16" spans="2:6" x14ac:dyDescent="0.2">
      <c r="B16" s="16" t="s">
        <v>1062</v>
      </c>
      <c r="C16" s="1" t="s">
        <v>1087</v>
      </c>
      <c r="D16" s="324">
        <f>SUMIF(DATA!S:S,B16,DATA!O:O)</f>
        <v>62283.17</v>
      </c>
      <c r="E16" s="324">
        <f>SUMIF(DATA!S:S,B16,DATA!N:N)</f>
        <v>119219</v>
      </c>
      <c r="F16" s="325">
        <f t="shared" si="1"/>
        <v>-56935.83</v>
      </c>
    </row>
    <row r="17" spans="2:6" x14ac:dyDescent="0.2">
      <c r="C17" s="1"/>
      <c r="D17" s="378">
        <f>SUM(D15:D16)</f>
        <v>172641.94</v>
      </c>
      <c r="E17" s="378">
        <f>SUM(E15:E16)</f>
        <v>230998</v>
      </c>
      <c r="F17" s="379">
        <f>SUM(F15:F16)</f>
        <v>-58356.06</v>
      </c>
    </row>
    <row r="18" spans="2:6" x14ac:dyDescent="0.2">
      <c r="C18" s="1"/>
      <c r="D18" s="324"/>
      <c r="E18" s="324"/>
      <c r="F18" s="325"/>
    </row>
    <row r="19" spans="2:6" x14ac:dyDescent="0.2">
      <c r="C19" s="1" t="s">
        <v>1085</v>
      </c>
      <c r="D19" s="324">
        <f>SUMIF(DATA!S:S,B19,DATA!O:O)</f>
        <v>0</v>
      </c>
      <c r="E19" s="324">
        <f>SUMIF(DATA!S:S,B19,DATA!N:N)</f>
        <v>0</v>
      </c>
      <c r="F19" s="325"/>
    </row>
    <row r="20" spans="2:6" x14ac:dyDescent="0.2">
      <c r="B20" s="16" t="s">
        <v>1063</v>
      </c>
      <c r="C20" s="1" t="s">
        <v>1088</v>
      </c>
      <c r="D20" s="324">
        <f>SUMIF(DATA!S:S,B20,DATA!O:O)</f>
        <v>-351727.71491761442</v>
      </c>
      <c r="E20" s="324">
        <f>SUMIF(DATA!S:S,B20,DATA!N:N)</f>
        <v>-99261.878363707307</v>
      </c>
      <c r="F20" s="325">
        <f t="shared" ref="F20:F21" si="2">D20-E20</f>
        <v>-252465.83655390711</v>
      </c>
    </row>
    <row r="21" spans="2:6" x14ac:dyDescent="0.2">
      <c r="B21" s="16" t="s">
        <v>1064</v>
      </c>
      <c r="C21" s="1" t="s">
        <v>1089</v>
      </c>
      <c r="D21" s="324">
        <f>SUMIF(DATA!S:S,B21,DATA!O:O)</f>
        <v>0</v>
      </c>
      <c r="E21" s="324">
        <f>SUMIF(DATA!S:S,B21,DATA!N:N)</f>
        <v>1306</v>
      </c>
      <c r="F21" s="325">
        <f t="shared" si="2"/>
        <v>-1306</v>
      </c>
    </row>
    <row r="22" spans="2:6" x14ac:dyDescent="0.2">
      <c r="C22" s="1"/>
      <c r="D22" s="378">
        <f>SUM(D20:D21)</f>
        <v>-351727.71491761442</v>
      </c>
      <c r="E22" s="378">
        <f>SUM(E20:E21)</f>
        <v>-97955.878363707307</v>
      </c>
      <c r="F22" s="379">
        <f>SUM(F20:F21)</f>
        <v>-253771.83655390711</v>
      </c>
    </row>
    <row r="23" spans="2:6" ht="12" thickBot="1" x14ac:dyDescent="0.25">
      <c r="C23" s="4"/>
      <c r="D23" s="328"/>
      <c r="E23" s="328"/>
      <c r="F23" s="329"/>
    </row>
    <row r="24" spans="2:6" ht="12" thickBot="1" x14ac:dyDescent="0.25">
      <c r="C24" s="183" t="s">
        <v>117</v>
      </c>
      <c r="D24" s="330">
        <f>D17+D22</f>
        <v>-179085.77491761441</v>
      </c>
      <c r="E24" s="330">
        <f t="shared" ref="E24:F24" si="3">E17+E22</f>
        <v>133042.12163629269</v>
      </c>
      <c r="F24" s="331">
        <f t="shared" si="3"/>
        <v>-312127.89655390708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9"/>
  <sheetViews>
    <sheetView workbookViewId="0">
      <selection activeCell="K25" sqref="K25"/>
    </sheetView>
  </sheetViews>
  <sheetFormatPr defaultColWidth="9.125" defaultRowHeight="11.25" x14ac:dyDescent="0.2"/>
  <cols>
    <col min="1" max="3" width="9.125" style="16"/>
    <col min="4" max="4" width="25.875" style="16" bestFit="1" customWidth="1"/>
    <col min="5" max="5" width="4.625" style="16" bestFit="1" customWidth="1"/>
    <col min="6" max="6" width="8.75" style="16" bestFit="1" customWidth="1"/>
    <col min="7" max="16384" width="9.125" style="16"/>
  </cols>
  <sheetData>
    <row r="3" spans="4:6" ht="12" thickBot="1" x14ac:dyDescent="0.25"/>
    <row r="4" spans="4:6" ht="12" thickBot="1" x14ac:dyDescent="0.25">
      <c r="D4" s="19"/>
      <c r="E4" s="48"/>
      <c r="F4" s="43">
        <v>42004</v>
      </c>
    </row>
    <row r="5" spans="4:6" ht="12" thickBot="1" x14ac:dyDescent="0.25">
      <c r="D5" s="44" t="s">
        <v>165</v>
      </c>
      <c r="E5" s="45" t="s">
        <v>166</v>
      </c>
      <c r="F5" s="46"/>
    </row>
    <row r="6" spans="4:6" ht="12" thickTop="1" x14ac:dyDescent="0.2">
      <c r="D6" s="42" t="s">
        <v>160</v>
      </c>
      <c r="E6" s="15"/>
      <c r="F6" s="15"/>
    </row>
    <row r="7" spans="4:6" x14ac:dyDescent="0.2">
      <c r="D7" s="15" t="s">
        <v>167</v>
      </c>
      <c r="E7" s="21"/>
      <c r="F7" s="24"/>
    </row>
    <row r="8" spans="4:6" x14ac:dyDescent="0.2">
      <c r="D8" s="15" t="s">
        <v>168</v>
      </c>
      <c r="E8" s="21"/>
      <c r="F8" s="24"/>
    </row>
    <row r="9" spans="4:6" x14ac:dyDescent="0.2">
      <c r="D9" s="15" t="s">
        <v>169</v>
      </c>
      <c r="E9" s="21"/>
      <c r="F9" s="23"/>
    </row>
    <row r="10" spans="4:6" x14ac:dyDescent="0.2">
      <c r="D10" s="15" t="s">
        <v>170</v>
      </c>
      <c r="E10" s="21"/>
      <c r="F10" s="24"/>
    </row>
    <row r="11" spans="4:6" x14ac:dyDescent="0.2">
      <c r="D11" s="15" t="s">
        <v>171</v>
      </c>
      <c r="E11" s="21"/>
      <c r="F11" s="24"/>
    </row>
    <row r="12" spans="4:6" x14ac:dyDescent="0.2">
      <c r="D12" s="15" t="s">
        <v>172</v>
      </c>
      <c r="E12" s="21"/>
      <c r="F12" s="24"/>
    </row>
    <row r="13" spans="4:6" ht="12" thickBot="1" x14ac:dyDescent="0.25">
      <c r="D13" s="15"/>
      <c r="E13" s="21"/>
      <c r="F13" s="15"/>
    </row>
    <row r="14" spans="4:6" ht="12" thickBot="1" x14ac:dyDescent="0.25">
      <c r="D14" s="41" t="s">
        <v>173</v>
      </c>
      <c r="E14" s="26"/>
      <c r="F14" s="27">
        <f>SUM(F5:F12)</f>
        <v>0</v>
      </c>
    </row>
    <row r="15" spans="4:6" ht="12" thickTop="1" x14ac:dyDescent="0.2">
      <c r="D15" s="15"/>
      <c r="E15" s="47"/>
      <c r="F15" s="15"/>
    </row>
    <row r="16" spans="4:6" x14ac:dyDescent="0.2">
      <c r="D16" s="15" t="s">
        <v>174</v>
      </c>
      <c r="E16" s="21"/>
      <c r="F16" s="24"/>
    </row>
    <row r="17" spans="4:6" ht="12" thickBot="1" x14ac:dyDescent="0.25">
      <c r="D17" s="15"/>
      <c r="E17" s="21"/>
      <c r="F17" s="15"/>
    </row>
    <row r="18" spans="4:6" ht="12" thickBot="1" x14ac:dyDescent="0.25">
      <c r="D18" s="41" t="s">
        <v>175</v>
      </c>
      <c r="E18" s="49"/>
      <c r="F18" s="27">
        <f>SUM(F14:F16)</f>
        <v>0</v>
      </c>
    </row>
    <row r="19" spans="4:6" ht="12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F33"/>
  <sheetViews>
    <sheetView workbookViewId="0">
      <selection activeCell="C3" sqref="C3:F29"/>
    </sheetView>
  </sheetViews>
  <sheetFormatPr defaultColWidth="8.875" defaultRowHeight="11.25" x14ac:dyDescent="0.2"/>
  <cols>
    <col min="1" max="1" width="10.125" style="16" bestFit="1" customWidth="1"/>
    <col min="2" max="2" width="8.875" style="16"/>
    <col min="3" max="3" width="81.125" style="16" bestFit="1" customWidth="1"/>
    <col min="4" max="4" width="7.25" style="16" hidden="1" customWidth="1"/>
    <col min="5" max="6" width="13" style="16" customWidth="1"/>
    <col min="7" max="16384" width="8.875" style="16"/>
  </cols>
  <sheetData>
    <row r="2" spans="1:6" x14ac:dyDescent="0.2">
      <c r="A2" s="202"/>
      <c r="E2" s="202"/>
      <c r="F2" s="202"/>
    </row>
    <row r="3" spans="1:6" ht="29.25" customHeight="1" thickBot="1" x14ac:dyDescent="0.25">
      <c r="C3" s="595" t="s">
        <v>1454</v>
      </c>
      <c r="D3" s="595"/>
      <c r="E3" s="595"/>
      <c r="F3" s="595"/>
    </row>
    <row r="4" spans="1:6" ht="15" customHeight="1" thickBot="1" x14ac:dyDescent="0.25">
      <c r="C4" s="593" t="s">
        <v>1392</v>
      </c>
      <c r="D4" s="593" t="s">
        <v>66</v>
      </c>
      <c r="E4" s="563" t="s">
        <v>67</v>
      </c>
      <c r="F4" s="563" t="s">
        <v>67</v>
      </c>
    </row>
    <row r="5" spans="1:6" ht="16.5" thickBot="1" x14ac:dyDescent="0.25">
      <c r="C5" s="594"/>
      <c r="D5" s="594"/>
      <c r="E5" s="564">
        <v>42369</v>
      </c>
      <c r="F5" s="564">
        <v>42004</v>
      </c>
    </row>
    <row r="6" spans="1:6" ht="15.75" x14ac:dyDescent="0.2">
      <c r="C6" s="565" t="s">
        <v>1119</v>
      </c>
      <c r="D6" s="566"/>
      <c r="E6" s="567"/>
      <c r="F6" s="568"/>
    </row>
    <row r="7" spans="1:6" ht="15" x14ac:dyDescent="0.2">
      <c r="B7" s="16">
        <v>500</v>
      </c>
      <c r="C7" s="523" t="s">
        <v>574</v>
      </c>
      <c r="D7" s="569"/>
      <c r="E7" s="570">
        <f>-SUMIF(DATA!Q:Q,B7,DATA!O:O)</f>
        <v>26307303.860000003</v>
      </c>
      <c r="F7" s="571">
        <f>-SUMIF(DATA!Q:Q,B7,DATA!N:N)</f>
        <v>26577038.399999995</v>
      </c>
    </row>
    <row r="8" spans="1:6" ht="15" x14ac:dyDescent="0.2">
      <c r="B8" s="16">
        <v>510</v>
      </c>
      <c r="C8" s="523" t="s">
        <v>1120</v>
      </c>
      <c r="D8" s="569"/>
      <c r="E8" s="570">
        <f>-SUMIF(DATA!Q:Q,B8,DATA!O:O)</f>
        <v>638344</v>
      </c>
      <c r="F8" s="571">
        <f>-SUMIF(DATA!Q:Q,B8,DATA!N:N)</f>
        <v>345199</v>
      </c>
    </row>
    <row r="9" spans="1:6" ht="15.75" thickBot="1" x14ac:dyDescent="0.25">
      <c r="B9" s="16">
        <v>520</v>
      </c>
      <c r="C9" s="523" t="s">
        <v>144</v>
      </c>
      <c r="D9" s="569"/>
      <c r="E9" s="570">
        <f>-SUMIF(DATA!Q:Q,B9,DATA!O:O)</f>
        <v>637206.33114631101</v>
      </c>
      <c r="F9" s="571">
        <f>-SUMIF(DATA!Q:Q,B9,DATA!N:N)</f>
        <v>345488.13924175187</v>
      </c>
    </row>
    <row r="10" spans="1:6" ht="16.5" thickBot="1" x14ac:dyDescent="0.25">
      <c r="C10" s="572" t="s">
        <v>1121</v>
      </c>
      <c r="D10" s="573"/>
      <c r="E10" s="574">
        <f>SUM(E7:E9)</f>
        <v>27582854.191146314</v>
      </c>
      <c r="F10" s="575">
        <f>SUM(F6:F9)</f>
        <v>27267725.539241746</v>
      </c>
    </row>
    <row r="11" spans="1:6" ht="15.75" x14ac:dyDescent="0.2">
      <c r="C11" s="576" t="s">
        <v>1122</v>
      </c>
      <c r="D11" s="577"/>
      <c r="E11" s="578"/>
      <c r="F11" s="579"/>
    </row>
    <row r="12" spans="1:6" ht="15" x14ac:dyDescent="0.2">
      <c r="B12" s="16">
        <v>540</v>
      </c>
      <c r="C12" s="523" t="s">
        <v>1070</v>
      </c>
      <c r="D12" s="577"/>
      <c r="E12" s="570">
        <f>SUMIF(DATA!Q:Q,B12,DATA!O:O)</f>
        <v>15625262.509999998</v>
      </c>
      <c r="F12" s="571">
        <f>SUMIF(DATA!Q:Q,B12,DATA!N:N)</f>
        <v>15216488.599999998</v>
      </c>
    </row>
    <row r="13" spans="1:6" ht="15" x14ac:dyDescent="0.2">
      <c r="B13" s="16">
        <v>550</v>
      </c>
      <c r="C13" s="523" t="s">
        <v>638</v>
      </c>
      <c r="D13" s="580"/>
      <c r="E13" s="570">
        <f>SUMIF(DATA!Q:Q,B13,DATA!O:O)</f>
        <v>6901185.1999999993</v>
      </c>
      <c r="F13" s="571">
        <f>SUMIF(DATA!Q:Q,B13,DATA!N:N)</f>
        <v>7019795.9100000011</v>
      </c>
    </row>
    <row r="14" spans="1:6" ht="15" x14ac:dyDescent="0.2">
      <c r="B14" s="16">
        <v>560</v>
      </c>
      <c r="C14" s="523" t="s">
        <v>1123</v>
      </c>
      <c r="D14" s="577"/>
      <c r="E14" s="570">
        <f>SUMIF(DATA!Q:Q,B14,DATA!O:O)</f>
        <v>2986922.7399999998</v>
      </c>
      <c r="F14" s="571">
        <f>SUMIF(DATA!Q:Q,B14,DATA!N:N)</f>
        <v>2791741.7800000003</v>
      </c>
    </row>
    <row r="15" spans="1:6" ht="15" x14ac:dyDescent="0.2">
      <c r="B15" s="16" t="s">
        <v>1124</v>
      </c>
      <c r="C15" s="523" t="s">
        <v>1125</v>
      </c>
      <c r="D15" s="580"/>
      <c r="E15" s="570">
        <f>SUMIF(DATA!Q:Q,B15,DATA!O:O)</f>
        <v>0</v>
      </c>
      <c r="F15" s="571">
        <f>SUMIF(DATA!Q:Q,B15,DATA!N:N)</f>
        <v>0</v>
      </c>
    </row>
    <row r="16" spans="1:6" ht="15" x14ac:dyDescent="0.2">
      <c r="B16" s="16">
        <v>580</v>
      </c>
      <c r="C16" s="523" t="s">
        <v>1126</v>
      </c>
      <c r="D16" s="580"/>
      <c r="E16" s="570">
        <f>SUMIF(DATA!Q:Q,B16,DATA!O:O)</f>
        <v>56266.85</v>
      </c>
      <c r="F16" s="571">
        <f>SUMIF(DATA!Q:Q,B16,DATA!N:N)</f>
        <v>0</v>
      </c>
    </row>
    <row r="17" spans="2:6" ht="15.75" thickBot="1" x14ac:dyDescent="0.25">
      <c r="B17" s="16">
        <v>590</v>
      </c>
      <c r="C17" s="523" t="s">
        <v>1127</v>
      </c>
      <c r="D17" s="580"/>
      <c r="E17" s="570">
        <f>SUMIF(DATA!Q:Q,B17,DATA!O:O)</f>
        <v>345082.57</v>
      </c>
      <c r="F17" s="571">
        <f>SUMIF(DATA!Q:Q,B17,DATA!N:N)</f>
        <v>674667.03999999992</v>
      </c>
    </row>
    <row r="18" spans="2:6" ht="16.5" thickBot="1" x14ac:dyDescent="0.25">
      <c r="C18" s="572" t="s">
        <v>1128</v>
      </c>
      <c r="D18" s="581"/>
      <c r="E18" s="582">
        <f>SUM(E12:E17)</f>
        <v>25914719.869999997</v>
      </c>
      <c r="F18" s="583">
        <f>SUM(F12:F17)</f>
        <v>25702693.329999998</v>
      </c>
    </row>
    <row r="19" spans="2:6" ht="9" customHeight="1" thickBot="1" x14ac:dyDescent="0.25">
      <c r="C19" s="523"/>
      <c r="D19" s="577"/>
      <c r="E19" s="570"/>
      <c r="F19" s="571"/>
    </row>
    <row r="20" spans="2:6" ht="16.5" thickBot="1" x14ac:dyDescent="0.25">
      <c r="C20" s="572" t="s">
        <v>1129</v>
      </c>
      <c r="D20" s="584"/>
      <c r="E20" s="582">
        <f>E10-E18</f>
        <v>1668134.3211463168</v>
      </c>
      <c r="F20" s="583">
        <f>F10-F18</f>
        <v>1565032.2092417479</v>
      </c>
    </row>
    <row r="21" spans="2:6" ht="15.75" thickBot="1" x14ac:dyDescent="0.25">
      <c r="B21" s="16">
        <v>570</v>
      </c>
      <c r="C21" s="523" t="s">
        <v>90</v>
      </c>
      <c r="D21" s="577"/>
      <c r="E21" s="570">
        <f>SUMIF(DATA!Q:Q,B21,DATA!O:O)</f>
        <v>949890.90772488376</v>
      </c>
      <c r="F21" s="571">
        <f>SUMIF(DATA!Q:Q,B21,DATA!N:N)</f>
        <v>811753.32075037388</v>
      </c>
    </row>
    <row r="22" spans="2:6" ht="16.5" thickBot="1" x14ac:dyDescent="0.25">
      <c r="C22" s="572" t="s">
        <v>1130</v>
      </c>
      <c r="D22" s="584"/>
      <c r="E22" s="582">
        <f>E20-E21</f>
        <v>718243.41342143307</v>
      </c>
      <c r="F22" s="583">
        <f>F20-F21</f>
        <v>753278.88849137397</v>
      </c>
    </row>
    <row r="23" spans="2:6" ht="15.75" thickBot="1" x14ac:dyDescent="0.25">
      <c r="B23" s="16">
        <v>600</v>
      </c>
      <c r="C23" s="523" t="s">
        <v>1131</v>
      </c>
      <c r="D23" s="577"/>
      <c r="E23" s="570">
        <f>-SUMIF(DATA!Q:Q,B23,DATA!O:O)</f>
        <v>-764143.58999999985</v>
      </c>
      <c r="F23" s="571">
        <f>-SUMIF(DATA!Q:Q,B23,DATA!N:N)</f>
        <v>-774665.99</v>
      </c>
    </row>
    <row r="24" spans="2:6" ht="16.5" thickBot="1" x14ac:dyDescent="0.25">
      <c r="C24" s="572" t="s">
        <v>94</v>
      </c>
      <c r="D24" s="584"/>
      <c r="E24" s="582">
        <f>E22+E23</f>
        <v>-45900.176578566781</v>
      </c>
      <c r="F24" s="583">
        <f>F22+F23</f>
        <v>-21387.101508626016</v>
      </c>
    </row>
    <row r="25" spans="2:6" ht="15.75" thickBot="1" x14ac:dyDescent="0.25">
      <c r="B25" s="16">
        <v>620</v>
      </c>
      <c r="C25" s="523" t="s">
        <v>95</v>
      </c>
      <c r="D25" s="577"/>
      <c r="E25" s="570">
        <f>SUMIF(DATA!Q:Q,B25,DATA!O:O)</f>
        <v>-179085.77491761444</v>
      </c>
      <c r="F25" s="571">
        <f>SUMIF(DATA!Q:Q,B25,DATA!N:N)</f>
        <v>133042.12163629272</v>
      </c>
    </row>
    <row r="26" spans="2:6" ht="16.5" thickBot="1" x14ac:dyDescent="0.25">
      <c r="C26" s="572" t="s">
        <v>1132</v>
      </c>
      <c r="D26" s="584"/>
      <c r="E26" s="582">
        <f>E24-E25</f>
        <v>133185.59833904766</v>
      </c>
      <c r="F26" s="583">
        <f>F24-F25</f>
        <v>-154429.22314491874</v>
      </c>
    </row>
    <row r="27" spans="2:6" ht="29.25" customHeight="1" x14ac:dyDescent="0.2">
      <c r="C27" s="585" t="s">
        <v>96</v>
      </c>
      <c r="D27" s="580"/>
      <c r="E27" s="570"/>
      <c r="F27" s="571"/>
    </row>
    <row r="28" spans="2:6" ht="18" customHeight="1" thickBot="1" x14ac:dyDescent="0.25">
      <c r="B28" s="16">
        <v>640</v>
      </c>
      <c r="C28" s="586" t="s">
        <v>1133</v>
      </c>
      <c r="D28" s="577"/>
      <c r="E28" s="570">
        <f>-SUMIF(DATA!Q:Q,B28,DATA!O:O)</f>
        <v>16912.506800000021</v>
      </c>
      <c r="F28" s="571">
        <f>-SUMIF(DATA!Q:Q,B28,DATA!N:N)</f>
        <v>-46309.040540000016</v>
      </c>
    </row>
    <row r="29" spans="2:6" ht="16.5" thickBot="1" x14ac:dyDescent="0.25">
      <c r="C29" s="572" t="s">
        <v>97</v>
      </c>
      <c r="D29" s="584"/>
      <c r="E29" s="582">
        <f>E26+E28</f>
        <v>150098.10513904769</v>
      </c>
      <c r="F29" s="583">
        <f>F26+F28</f>
        <v>-200738.26368491875</v>
      </c>
    </row>
    <row r="31" spans="2:6" x14ac:dyDescent="0.2">
      <c r="D31" s="16" t="s">
        <v>1134</v>
      </c>
      <c r="E31" s="396">
        <f>+'situazione patrimoniale finanzi'!D30</f>
        <v>150098.33363902569</v>
      </c>
      <c r="F31" s="396">
        <f>+'situazione patrimoniale finanzi'!E30</f>
        <v>-200738.04368493997</v>
      </c>
    </row>
    <row r="33" spans="4:6" x14ac:dyDescent="0.2">
      <c r="D33" s="16" t="s">
        <v>1135</v>
      </c>
      <c r="E33" s="202">
        <f>E31-E29</f>
        <v>0.22849997799494304</v>
      </c>
      <c r="F33" s="202">
        <f>F31-F29</f>
        <v>0.21999997878447175</v>
      </c>
    </row>
  </sheetData>
  <mergeCells count="3">
    <mergeCell ref="C4:C5"/>
    <mergeCell ref="D4:D5"/>
    <mergeCell ref="C3:F3"/>
  </mergeCells>
  <pageMargins left="0.31496062992125984" right="0.31496062992125984" top="0.55118110236220474" bottom="0.55118110236220474" header="0" footer="0"/>
  <pageSetup paperSize="9" scale="77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G5:H14"/>
  <sheetViews>
    <sheetView workbookViewId="0">
      <selection activeCell="H8" sqref="H8"/>
    </sheetView>
  </sheetViews>
  <sheetFormatPr defaultRowHeight="15" x14ac:dyDescent="0.25"/>
  <cols>
    <col min="7" max="7" width="29.25" bestFit="1" customWidth="1"/>
    <col min="8" max="8" width="14.75" bestFit="1" customWidth="1"/>
  </cols>
  <sheetData>
    <row r="5" spans="7:8" ht="15.75" thickBot="1" x14ac:dyDescent="0.3"/>
    <row r="6" spans="7:8" ht="16.5" thickBot="1" x14ac:dyDescent="0.35">
      <c r="G6" s="611" t="s">
        <v>1142</v>
      </c>
      <c r="H6" s="612"/>
    </row>
    <row r="7" spans="7:8" ht="15.75" x14ac:dyDescent="0.3">
      <c r="G7" s="201" t="s">
        <v>211</v>
      </c>
      <c r="H7" s="199">
        <v>0</v>
      </c>
    </row>
    <row r="8" spans="7:8" ht="15.75" x14ac:dyDescent="0.3">
      <c r="G8" s="191" t="s">
        <v>223</v>
      </c>
      <c r="H8" s="192">
        <v>0.02</v>
      </c>
    </row>
    <row r="9" spans="7:8" ht="15.75" x14ac:dyDescent="0.3">
      <c r="G9" s="191" t="s">
        <v>1164</v>
      </c>
      <c r="H9" s="192">
        <v>0.1</v>
      </c>
    </row>
    <row r="10" spans="7:8" ht="15.75" x14ac:dyDescent="0.3">
      <c r="G10" s="198" t="s">
        <v>1162</v>
      </c>
      <c r="H10" s="192" t="s">
        <v>1160</v>
      </c>
    </row>
    <row r="11" spans="7:8" ht="15.75" x14ac:dyDescent="0.3">
      <c r="G11" s="198" t="s">
        <v>1161</v>
      </c>
      <c r="H11" s="192">
        <v>0.125</v>
      </c>
    </row>
    <row r="12" spans="7:8" ht="15.75" x14ac:dyDescent="0.3">
      <c r="G12" s="191" t="s">
        <v>1163</v>
      </c>
      <c r="H12" s="192">
        <v>0.15</v>
      </c>
    </row>
    <row r="13" spans="7:8" ht="15.75" x14ac:dyDescent="0.3">
      <c r="G13" s="191" t="s">
        <v>1143</v>
      </c>
      <c r="H13" s="192">
        <v>0.2</v>
      </c>
    </row>
    <row r="14" spans="7:8" ht="16.5" thickBot="1" x14ac:dyDescent="0.35">
      <c r="G14" s="193" t="s">
        <v>1165</v>
      </c>
      <c r="H14" s="200" t="s">
        <v>1166</v>
      </c>
    </row>
  </sheetData>
  <mergeCells count="1">
    <mergeCell ref="G6:H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I49"/>
  <sheetViews>
    <sheetView workbookViewId="0">
      <selection activeCell="E18" sqref="E18"/>
    </sheetView>
  </sheetViews>
  <sheetFormatPr defaultColWidth="9.125" defaultRowHeight="11.25" x14ac:dyDescent="0.2"/>
  <cols>
    <col min="1" max="1" width="9.125" style="16"/>
    <col min="2" max="2" width="32.875" style="16" bestFit="1" customWidth="1"/>
    <col min="3" max="3" width="22.125" style="16" bestFit="1" customWidth="1"/>
    <col min="4" max="4" width="9.125" style="16"/>
    <col min="5" max="5" width="16" style="16" bestFit="1" customWidth="1"/>
    <col min="6" max="6" width="13.25" style="16" bestFit="1" customWidth="1"/>
    <col min="7" max="7" width="23.125" style="16" bestFit="1" customWidth="1"/>
    <col min="8" max="8" width="14" style="16" bestFit="1" customWidth="1"/>
    <col min="9" max="9" width="18.25" style="16" bestFit="1" customWidth="1"/>
    <col min="10" max="16384" width="9.125" style="16"/>
  </cols>
  <sheetData>
    <row r="3" spans="2:6" ht="12" thickBot="1" x14ac:dyDescent="0.25"/>
    <row r="4" spans="2:6" ht="12" thickBot="1" x14ac:dyDescent="0.25">
      <c r="E4" s="445"/>
      <c r="F4" s="446" t="s">
        <v>1136</v>
      </c>
    </row>
    <row r="5" spans="2:6" x14ac:dyDescent="0.2">
      <c r="E5" s="447" t="s">
        <v>1137</v>
      </c>
      <c r="F5" s="448">
        <v>2</v>
      </c>
    </row>
    <row r="6" spans="2:6" x14ac:dyDescent="0.2">
      <c r="E6" s="447" t="s">
        <v>1138</v>
      </c>
      <c r="F6" s="448">
        <v>24</v>
      </c>
    </row>
    <row r="7" spans="2:6" x14ac:dyDescent="0.2">
      <c r="E7" s="447" t="s">
        <v>1139</v>
      </c>
      <c r="F7" s="448">
        <v>48</v>
      </c>
    </row>
    <row r="8" spans="2:6" ht="12" thickBot="1" x14ac:dyDescent="0.25">
      <c r="E8" s="447" t="s">
        <v>1140</v>
      </c>
      <c r="F8" s="448">
        <v>7</v>
      </c>
    </row>
    <row r="9" spans="2:6" ht="12" thickBot="1" x14ac:dyDescent="0.25">
      <c r="E9" s="445" t="s">
        <v>1141</v>
      </c>
      <c r="F9" s="446">
        <f>SUM(F5:F8)</f>
        <v>81</v>
      </c>
    </row>
    <row r="12" spans="2:6" ht="12" thickBot="1" x14ac:dyDescent="0.25"/>
    <row r="13" spans="2:6" ht="12" thickBot="1" x14ac:dyDescent="0.25">
      <c r="B13" s="613" t="s">
        <v>1412</v>
      </c>
      <c r="C13" s="614"/>
    </row>
    <row r="14" spans="2:6" ht="12" thickBot="1" x14ac:dyDescent="0.25">
      <c r="B14" s="450" t="s">
        <v>1426</v>
      </c>
      <c r="C14" s="8" t="s">
        <v>1427</v>
      </c>
    </row>
    <row r="15" spans="2:6" x14ac:dyDescent="0.2">
      <c r="B15" s="3" t="s">
        <v>1413</v>
      </c>
      <c r="C15" s="456">
        <v>225723.77</v>
      </c>
    </row>
    <row r="16" spans="2:6" x14ac:dyDescent="0.2">
      <c r="B16" s="1" t="s">
        <v>1414</v>
      </c>
      <c r="C16" s="457">
        <v>228936.23</v>
      </c>
    </row>
    <row r="17" spans="2:3" x14ac:dyDescent="0.2">
      <c r="B17" s="1" t="s">
        <v>1415</v>
      </c>
      <c r="C17" s="457">
        <v>230376.34</v>
      </c>
    </row>
    <row r="18" spans="2:3" x14ac:dyDescent="0.2">
      <c r="B18" s="1" t="s">
        <v>1416</v>
      </c>
      <c r="C18" s="457">
        <v>224138.51</v>
      </c>
    </row>
    <row r="19" spans="2:3" x14ac:dyDescent="0.2">
      <c r="B19" s="1" t="s">
        <v>1417</v>
      </c>
      <c r="C19" s="457">
        <v>222279.13</v>
      </c>
    </row>
    <row r="20" spans="2:3" ht="12" thickBot="1" x14ac:dyDescent="0.25">
      <c r="B20" s="4" t="s">
        <v>1418</v>
      </c>
      <c r="C20" s="458">
        <v>232365.5</v>
      </c>
    </row>
    <row r="21" spans="2:3" ht="12" thickBot="1" x14ac:dyDescent="0.25">
      <c r="B21" s="449"/>
    </row>
    <row r="22" spans="2:3" ht="12" thickBot="1" x14ac:dyDescent="0.25">
      <c r="B22" s="613" t="s">
        <v>1419</v>
      </c>
      <c r="C22" s="614"/>
    </row>
    <row r="23" spans="2:3" ht="21" customHeight="1" thickBot="1" x14ac:dyDescent="0.25">
      <c r="B23" s="615" t="s">
        <v>1426</v>
      </c>
      <c r="C23" s="616"/>
    </row>
    <row r="24" spans="2:3" x14ac:dyDescent="0.2">
      <c r="B24" s="3" t="s">
        <v>1420</v>
      </c>
      <c r="C24" s="451" t="s">
        <v>1421</v>
      </c>
    </row>
    <row r="25" spans="2:3" ht="12" thickBot="1" x14ac:dyDescent="0.25">
      <c r="B25" s="4" t="s">
        <v>1422</v>
      </c>
      <c r="C25" s="459">
        <v>9.5</v>
      </c>
    </row>
    <row r="26" spans="2:3" ht="12" thickBot="1" x14ac:dyDescent="0.25">
      <c r="B26" s="449"/>
    </row>
    <row r="27" spans="2:3" ht="12" thickBot="1" x14ac:dyDescent="0.25">
      <c r="B27" s="613" t="s">
        <v>1423</v>
      </c>
      <c r="C27" s="614"/>
    </row>
    <row r="28" spans="2:3" ht="12" thickBot="1" x14ac:dyDescent="0.25">
      <c r="B28" s="450" t="s">
        <v>1424</v>
      </c>
      <c r="C28" s="8" t="s">
        <v>1425</v>
      </c>
    </row>
    <row r="29" spans="2:3" x14ac:dyDescent="0.2">
      <c r="B29" s="453">
        <v>1</v>
      </c>
      <c r="C29" s="460">
        <v>17058.93</v>
      </c>
    </row>
    <row r="30" spans="2:3" x14ac:dyDescent="0.2">
      <c r="B30" s="454">
        <v>2</v>
      </c>
      <c r="C30" s="461">
        <v>15314.23</v>
      </c>
    </row>
    <row r="31" spans="2:3" x14ac:dyDescent="0.2">
      <c r="B31" s="454">
        <v>3</v>
      </c>
      <c r="C31" s="461">
        <v>15845.75</v>
      </c>
    </row>
    <row r="32" spans="2:3" x14ac:dyDescent="0.2">
      <c r="B32" s="454">
        <v>4</v>
      </c>
      <c r="C32" s="461">
        <v>13564.05</v>
      </c>
    </row>
    <row r="33" spans="2:9" ht="12" thickBot="1" x14ac:dyDescent="0.25">
      <c r="B33" s="455">
        <v>5</v>
      </c>
      <c r="C33" s="462">
        <v>12876.96</v>
      </c>
    </row>
    <row r="34" spans="2:9" ht="12" thickBot="1" x14ac:dyDescent="0.25"/>
    <row r="35" spans="2:9" ht="23.25" thickBot="1" x14ac:dyDescent="0.25">
      <c r="G35" s="450" t="s">
        <v>1428</v>
      </c>
      <c r="H35" s="7" t="s">
        <v>1429</v>
      </c>
      <c r="I35" s="8" t="s">
        <v>1430</v>
      </c>
    </row>
    <row r="36" spans="2:9" x14ac:dyDescent="0.2">
      <c r="G36" s="3" t="s">
        <v>1431</v>
      </c>
      <c r="H36" s="463">
        <v>1.3899999999999999E-2</v>
      </c>
      <c r="I36" s="464">
        <v>9.1000000000000004E-3</v>
      </c>
    </row>
    <row r="37" spans="2:9" ht="14.25" x14ac:dyDescent="0.2">
      <c r="G37" s="1"/>
      <c r="H37" s="465"/>
      <c r="I37" s="466"/>
    </row>
    <row r="38" spans="2:9" x14ac:dyDescent="0.2">
      <c r="G38" s="1"/>
      <c r="H38" s="404" t="s">
        <v>1432</v>
      </c>
      <c r="I38" s="466" t="s">
        <v>1433</v>
      </c>
    </row>
    <row r="39" spans="2:9" x14ac:dyDescent="0.2">
      <c r="G39" s="1" t="s">
        <v>1434</v>
      </c>
      <c r="H39" s="404" t="s">
        <v>1435</v>
      </c>
      <c r="I39" s="466" t="s">
        <v>1436</v>
      </c>
    </row>
    <row r="40" spans="2:9" x14ac:dyDescent="0.2">
      <c r="G40" s="1"/>
      <c r="H40" s="404" t="s">
        <v>1437</v>
      </c>
      <c r="I40" s="466" t="s">
        <v>1438</v>
      </c>
    </row>
    <row r="41" spans="2:9" x14ac:dyDescent="0.2">
      <c r="G41" s="1"/>
      <c r="H41" s="404" t="s">
        <v>1439</v>
      </c>
      <c r="I41" s="466" t="s">
        <v>1440</v>
      </c>
    </row>
    <row r="42" spans="2:9" x14ac:dyDescent="0.2">
      <c r="G42" s="1"/>
      <c r="H42" s="404" t="s">
        <v>1441</v>
      </c>
      <c r="I42" s="466"/>
    </row>
    <row r="43" spans="2:9" ht="14.25" x14ac:dyDescent="0.2">
      <c r="G43" s="1"/>
      <c r="H43" s="465"/>
      <c r="I43" s="466"/>
    </row>
    <row r="44" spans="2:9" x14ac:dyDescent="0.2">
      <c r="G44" s="1"/>
      <c r="H44" s="404" t="s">
        <v>1442</v>
      </c>
      <c r="I44" s="466" t="s">
        <v>1443</v>
      </c>
    </row>
    <row r="45" spans="2:9" x14ac:dyDescent="0.2">
      <c r="G45" s="1" t="s">
        <v>1444</v>
      </c>
      <c r="H45" s="404" t="s">
        <v>1445</v>
      </c>
      <c r="I45" s="466" t="s">
        <v>1446</v>
      </c>
    </row>
    <row r="46" spans="2:9" x14ac:dyDescent="0.2">
      <c r="G46" s="1"/>
      <c r="H46" s="404" t="s">
        <v>1447</v>
      </c>
      <c r="I46" s="466" t="s">
        <v>1448</v>
      </c>
    </row>
    <row r="47" spans="2:9" x14ac:dyDescent="0.2">
      <c r="G47" s="1"/>
      <c r="H47" s="404" t="s">
        <v>1449</v>
      </c>
      <c r="I47" s="466" t="s">
        <v>1450</v>
      </c>
    </row>
    <row r="48" spans="2:9" x14ac:dyDescent="0.2">
      <c r="G48" s="1"/>
      <c r="H48" s="404" t="s">
        <v>1451</v>
      </c>
      <c r="I48" s="466"/>
    </row>
    <row r="49" spans="7:9" ht="12" thickBot="1" x14ac:dyDescent="0.25">
      <c r="G49" s="4"/>
      <c r="H49" s="467"/>
      <c r="I49" s="452"/>
    </row>
  </sheetData>
  <mergeCells count="4">
    <mergeCell ref="B13:C13"/>
    <mergeCell ref="B22:C22"/>
    <mergeCell ref="B23:C23"/>
    <mergeCell ref="B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J29"/>
  <sheetViews>
    <sheetView workbookViewId="0">
      <selection activeCell="B2" sqref="B2:J19"/>
    </sheetView>
  </sheetViews>
  <sheetFormatPr defaultColWidth="9.125" defaultRowHeight="11.25" x14ac:dyDescent="0.2"/>
  <cols>
    <col min="1" max="1" width="3.375" style="16" customWidth="1"/>
    <col min="2" max="2" width="33.625" style="16" customWidth="1"/>
    <col min="3" max="10" width="11.25" style="16" customWidth="1"/>
    <col min="11" max="16384" width="9.125" style="16"/>
  </cols>
  <sheetData>
    <row r="2" spans="2:10" ht="27.75" customHeight="1" thickBot="1" x14ac:dyDescent="0.25">
      <c r="B2" s="596" t="s">
        <v>1455</v>
      </c>
      <c r="C2" s="596"/>
      <c r="D2" s="596"/>
      <c r="E2" s="596"/>
      <c r="F2" s="596"/>
      <c r="G2" s="596"/>
      <c r="H2" s="596"/>
      <c r="I2" s="596"/>
      <c r="J2" s="596"/>
    </row>
    <row r="3" spans="2:10" ht="39" thickBot="1" x14ac:dyDescent="0.25">
      <c r="B3" s="480"/>
      <c r="C3" s="481" t="s">
        <v>397</v>
      </c>
      <c r="D3" s="482" t="s">
        <v>398</v>
      </c>
      <c r="E3" s="482" t="s">
        <v>1153</v>
      </c>
      <c r="F3" s="482" t="s">
        <v>401</v>
      </c>
      <c r="G3" s="482" t="s">
        <v>542</v>
      </c>
      <c r="H3" s="482" t="s">
        <v>1155</v>
      </c>
      <c r="I3" s="482" t="s">
        <v>1146</v>
      </c>
      <c r="J3" s="482" t="s">
        <v>137</v>
      </c>
    </row>
    <row r="4" spans="2:10" ht="13.5" thickTop="1" x14ac:dyDescent="0.2">
      <c r="B4" s="483" t="s">
        <v>1154</v>
      </c>
      <c r="C4" s="484">
        <f>'situazione patrimoniale finanzi'!F28</f>
        <v>5300000</v>
      </c>
      <c r="D4" s="484">
        <f>-DATA!M182</f>
        <v>28446.1</v>
      </c>
      <c r="E4" s="485">
        <f>-DATA!M183</f>
        <v>118828</v>
      </c>
      <c r="F4" s="485">
        <f>-DATA!M184</f>
        <v>421643.72</v>
      </c>
      <c r="G4" s="485">
        <f>-DATA!M318-DATA!M319-DATA!M320-DATA!M321-DATA!M322</f>
        <v>-932617.43660650135</v>
      </c>
      <c r="H4" s="485"/>
      <c r="I4" s="485">
        <f>'Tabelle SP e CE appendice A'!D28</f>
        <v>52296.989999984158</v>
      </c>
      <c r="J4" s="485">
        <f t="shared" ref="J4:J18" si="0">SUM(C4:I4)</f>
        <v>4988597.3733934825</v>
      </c>
    </row>
    <row r="5" spans="2:10" ht="7.5" customHeight="1" x14ac:dyDescent="0.2">
      <c r="B5" s="486"/>
      <c r="C5" s="487"/>
      <c r="D5" s="487"/>
      <c r="E5" s="488"/>
      <c r="F5" s="488"/>
      <c r="G5" s="488"/>
      <c r="H5" s="488"/>
      <c r="I5" s="488"/>
      <c r="J5" s="488">
        <f t="shared" si="0"/>
        <v>0</v>
      </c>
    </row>
    <row r="6" spans="2:10" ht="12.75" x14ac:dyDescent="0.2">
      <c r="B6" s="478" t="s">
        <v>1156</v>
      </c>
      <c r="C6" s="489"/>
      <c r="D6" s="489">
        <v>2614</v>
      </c>
      <c r="E6" s="488"/>
      <c r="F6" s="488">
        <v>49683</v>
      </c>
      <c r="G6" s="488"/>
      <c r="H6" s="488"/>
      <c r="I6" s="488">
        <f>-D6-F6</f>
        <v>-52297</v>
      </c>
      <c r="J6" s="488">
        <f t="shared" si="0"/>
        <v>0</v>
      </c>
    </row>
    <row r="7" spans="2:10" ht="7.5" customHeight="1" x14ac:dyDescent="0.2">
      <c r="B7" s="478"/>
      <c r="C7" s="489"/>
      <c r="D7" s="489"/>
      <c r="E7" s="488"/>
      <c r="F7" s="488"/>
      <c r="G7" s="488"/>
      <c r="H7" s="488"/>
      <c r="I7" s="488"/>
      <c r="J7" s="488">
        <f t="shared" si="0"/>
        <v>0</v>
      </c>
    </row>
    <row r="8" spans="2:10" ht="12.75" x14ac:dyDescent="0.2">
      <c r="B8" s="478" t="s">
        <v>1157</v>
      </c>
      <c r="C8" s="489"/>
      <c r="D8" s="489"/>
      <c r="E8" s="488"/>
      <c r="F8" s="488"/>
      <c r="G8" s="488"/>
      <c r="H8" s="488"/>
      <c r="I8" s="488"/>
      <c r="J8" s="488">
        <f t="shared" si="0"/>
        <v>0</v>
      </c>
    </row>
    <row r="9" spans="2:10" ht="12.75" x14ac:dyDescent="0.2">
      <c r="B9" s="490" t="s">
        <v>1158</v>
      </c>
      <c r="C9" s="489"/>
      <c r="D9" s="489"/>
      <c r="E9" s="488"/>
      <c r="F9" s="488"/>
      <c r="G9" s="488"/>
      <c r="H9" s="488"/>
      <c r="I9" s="488">
        <f>+'CE per natura'!F26</f>
        <v>-154429.22314491874</v>
      </c>
      <c r="J9" s="488">
        <f t="shared" si="0"/>
        <v>-154429.22314491874</v>
      </c>
    </row>
    <row r="10" spans="2:10" ht="13.5" thickBot="1" x14ac:dyDescent="0.25">
      <c r="B10" s="490" t="s">
        <v>1159</v>
      </c>
      <c r="C10" s="489"/>
      <c r="D10" s="489"/>
      <c r="E10" s="488"/>
      <c r="F10" s="488"/>
      <c r="G10" s="488"/>
      <c r="H10" s="488"/>
      <c r="I10" s="488">
        <f>+'CE per natura'!F28</f>
        <v>-46309.040540000016</v>
      </c>
      <c r="J10" s="488">
        <f t="shared" si="0"/>
        <v>-46309.040540000016</v>
      </c>
    </row>
    <row r="11" spans="2:10" ht="13.5" thickBot="1" x14ac:dyDescent="0.25">
      <c r="B11" s="480" t="s">
        <v>1145</v>
      </c>
      <c r="C11" s="491">
        <f t="shared" ref="C11:J11" si="1">SUM(C4:C10)</f>
        <v>5300000</v>
      </c>
      <c r="D11" s="491">
        <f t="shared" si="1"/>
        <v>31060.1</v>
      </c>
      <c r="E11" s="491">
        <f t="shared" si="1"/>
        <v>118828</v>
      </c>
      <c r="F11" s="491">
        <f t="shared" si="1"/>
        <v>471326.71999999997</v>
      </c>
      <c r="G11" s="491">
        <f t="shared" si="1"/>
        <v>-932617.43660650135</v>
      </c>
      <c r="H11" s="491">
        <f t="shared" si="1"/>
        <v>0</v>
      </c>
      <c r="I11" s="491">
        <f t="shared" si="1"/>
        <v>-200738.2736849346</v>
      </c>
      <c r="J11" s="491">
        <f t="shared" si="1"/>
        <v>4787859.1097085634</v>
      </c>
    </row>
    <row r="12" spans="2:10" ht="7.5" customHeight="1" thickTop="1" x14ac:dyDescent="0.2">
      <c r="B12" s="479"/>
      <c r="C12" s="488"/>
      <c r="D12" s="488"/>
      <c r="E12" s="488"/>
      <c r="F12" s="488"/>
      <c r="G12" s="488"/>
      <c r="H12" s="488"/>
      <c r="I12" s="488"/>
      <c r="J12" s="488"/>
    </row>
    <row r="13" spans="2:10" ht="12.75" x14ac:dyDescent="0.2">
      <c r="B13" s="479" t="s">
        <v>1147</v>
      </c>
      <c r="C13" s="488"/>
      <c r="D13" s="488">
        <v>4065</v>
      </c>
      <c r="E13" s="488"/>
      <c r="F13" s="488">
        <f>-I13-H13-D13</f>
        <v>-158494.23314493458</v>
      </c>
      <c r="G13" s="488"/>
      <c r="H13" s="488">
        <f>+I10</f>
        <v>-46309.040540000016</v>
      </c>
      <c r="I13" s="488">
        <f>-I11</f>
        <v>200738.2736849346</v>
      </c>
      <c r="J13" s="488">
        <f t="shared" si="0"/>
        <v>0</v>
      </c>
    </row>
    <row r="14" spans="2:10" ht="12.75" x14ac:dyDescent="0.2">
      <c r="B14" s="479" t="s">
        <v>1148</v>
      </c>
      <c r="C14" s="488"/>
      <c r="D14" s="488"/>
      <c r="E14" s="488"/>
      <c r="F14" s="488"/>
      <c r="G14" s="488"/>
      <c r="H14" s="488"/>
      <c r="I14" s="488"/>
      <c r="J14" s="488">
        <f t="shared" si="0"/>
        <v>0</v>
      </c>
    </row>
    <row r="15" spans="2:10" ht="12.75" x14ac:dyDescent="0.2">
      <c r="B15" s="479" t="s">
        <v>1149</v>
      </c>
      <c r="C15" s="488"/>
      <c r="D15" s="488"/>
      <c r="E15" s="488"/>
      <c r="F15" s="488"/>
      <c r="G15" s="488"/>
      <c r="H15" s="488"/>
      <c r="I15" s="488"/>
      <c r="J15" s="488">
        <f t="shared" si="0"/>
        <v>0</v>
      </c>
    </row>
    <row r="16" spans="2:10" ht="12.75" x14ac:dyDescent="0.2">
      <c r="B16" s="492" t="s">
        <v>1150</v>
      </c>
      <c r="C16" s="488"/>
      <c r="D16" s="488"/>
      <c r="E16" s="488"/>
      <c r="F16" s="488"/>
      <c r="G16" s="488"/>
      <c r="H16" s="488"/>
      <c r="I16" s="488">
        <f>+'CE per natura'!E26</f>
        <v>133185.59833904766</v>
      </c>
      <c r="J16" s="488">
        <f t="shared" si="0"/>
        <v>133185.59833904766</v>
      </c>
    </row>
    <row r="17" spans="2:10" ht="12.75" x14ac:dyDescent="0.2">
      <c r="B17" s="492" t="s">
        <v>1151</v>
      </c>
      <c r="C17" s="488"/>
      <c r="D17" s="488"/>
      <c r="E17" s="488"/>
      <c r="F17" s="488"/>
      <c r="G17" s="488"/>
      <c r="H17" s="488"/>
      <c r="I17" s="488">
        <f>+'CE per natura'!E28</f>
        <v>16912.506800000021</v>
      </c>
      <c r="J17" s="488">
        <f t="shared" si="0"/>
        <v>16912.506800000021</v>
      </c>
    </row>
    <row r="18" spans="2:10" ht="7.5" customHeight="1" thickBot="1" x14ac:dyDescent="0.25">
      <c r="B18" s="479"/>
      <c r="C18" s="488"/>
      <c r="D18" s="488"/>
      <c r="E18" s="488"/>
      <c r="F18" s="488"/>
      <c r="G18" s="488"/>
      <c r="H18" s="488"/>
      <c r="I18" s="488"/>
      <c r="J18" s="488">
        <f t="shared" si="0"/>
        <v>0</v>
      </c>
    </row>
    <row r="19" spans="2:10" ht="13.5" thickBot="1" x14ac:dyDescent="0.25">
      <c r="B19" s="480" t="s">
        <v>1152</v>
      </c>
      <c r="C19" s="491">
        <f t="shared" ref="C19:J19" si="2">SUM(C11:C18)</f>
        <v>5300000</v>
      </c>
      <c r="D19" s="491">
        <f t="shared" si="2"/>
        <v>35125.1</v>
      </c>
      <c r="E19" s="491">
        <f t="shared" si="2"/>
        <v>118828</v>
      </c>
      <c r="F19" s="491">
        <f t="shared" si="2"/>
        <v>312832.48685506539</v>
      </c>
      <c r="G19" s="491">
        <f t="shared" si="2"/>
        <v>-932617.43660650135</v>
      </c>
      <c r="H19" s="491">
        <f t="shared" si="2"/>
        <v>-46309.040540000016</v>
      </c>
      <c r="I19" s="491">
        <f t="shared" si="2"/>
        <v>150098.10513904769</v>
      </c>
      <c r="J19" s="491">
        <f t="shared" si="2"/>
        <v>4937957.2148476103</v>
      </c>
    </row>
    <row r="20" spans="2:10" ht="12" thickTop="1" x14ac:dyDescent="0.2"/>
    <row r="26" spans="2:10" x14ac:dyDescent="0.2">
      <c r="D26" s="202"/>
    </row>
    <row r="27" spans="2:10" x14ac:dyDescent="0.2">
      <c r="D27" s="202"/>
    </row>
    <row r="28" spans="2:10" x14ac:dyDescent="0.2">
      <c r="D28" s="202"/>
    </row>
    <row r="29" spans="2:10" x14ac:dyDescent="0.2">
      <c r="D29" s="202"/>
    </row>
  </sheetData>
  <mergeCells count="1">
    <mergeCell ref="B2:J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tabSelected="1" workbookViewId="0">
      <selection activeCell="F42" sqref="F42"/>
    </sheetView>
  </sheetViews>
  <sheetFormatPr defaultColWidth="9.125" defaultRowHeight="11.25" x14ac:dyDescent="0.2"/>
  <cols>
    <col min="1" max="1" width="3.75" style="16" customWidth="1"/>
    <col min="2" max="2" width="33.375" style="16" bestFit="1" customWidth="1"/>
    <col min="3" max="8" width="11.25" style="16" customWidth="1"/>
    <col min="9" max="12" width="9.125" style="16"/>
    <col min="13" max="13" width="11.125" style="361" bestFit="1" customWidth="1"/>
    <col min="14" max="16384" width="9.125" style="16"/>
  </cols>
  <sheetData>
    <row r="2" spans="2:13" ht="12" thickBot="1" x14ac:dyDescent="0.25">
      <c r="B2" s="15"/>
      <c r="C2" s="15"/>
      <c r="D2" s="15"/>
    </row>
    <row r="3" spans="2:13" ht="23.25" thickBot="1" x14ac:dyDescent="0.25">
      <c r="B3" s="41"/>
      <c r="C3" s="195" t="s">
        <v>397</v>
      </c>
      <c r="D3" s="195" t="s">
        <v>839</v>
      </c>
      <c r="E3" s="195" t="s">
        <v>542</v>
      </c>
      <c r="F3" s="195" t="s">
        <v>132</v>
      </c>
      <c r="G3" s="195" t="s">
        <v>1146</v>
      </c>
      <c r="H3" s="195" t="s">
        <v>137</v>
      </c>
    </row>
    <row r="4" spans="2:13" ht="12" thickTop="1" x14ac:dyDescent="0.2">
      <c r="B4" s="194" t="s">
        <v>1144</v>
      </c>
      <c r="C4" s="206">
        <f>'Tabelle SP e CE appendice A'!D26</f>
        <v>5300000</v>
      </c>
      <c r="D4" s="206"/>
      <c r="E4" s="207"/>
      <c r="F4" s="208">
        <f>'Tabelle SP e CE appendice A'!D27</f>
        <v>568917.81999999995</v>
      </c>
      <c r="G4" s="208">
        <f>'Tabelle SP e CE appendice A'!D28</f>
        <v>52296.989999984158</v>
      </c>
      <c r="H4" s="208">
        <f>SUM(C4:G4)</f>
        <v>5921214.8099999847</v>
      </c>
    </row>
    <row r="5" spans="2:13" x14ac:dyDescent="0.2">
      <c r="B5" s="194"/>
      <c r="C5" s="206"/>
      <c r="D5" s="206"/>
      <c r="E5" s="207"/>
      <c r="F5" s="208"/>
      <c r="G5" s="208"/>
      <c r="H5" s="208"/>
    </row>
    <row r="6" spans="2:13" x14ac:dyDescent="0.2">
      <c r="B6" s="42" t="s">
        <v>160</v>
      </c>
      <c r="C6" s="209"/>
      <c r="D6" s="209"/>
      <c r="E6" s="207"/>
      <c r="F6" s="207"/>
      <c r="G6" s="207"/>
      <c r="H6" s="207"/>
    </row>
    <row r="7" spans="2:13" x14ac:dyDescent="0.2">
      <c r="B7" s="197" t="s">
        <v>1402</v>
      </c>
      <c r="C7" s="210"/>
      <c r="D7" s="210"/>
      <c r="E7" s="207">
        <f>+'Tabelle SP e CE appendice A'!E6+'Tabelle SP e CE appendice A'!E7</f>
        <v>-375401.53</v>
      </c>
      <c r="F7" s="207"/>
      <c r="G7" s="207"/>
      <c r="H7" s="207">
        <f t="shared" ref="H7:H19" si="0">SUM(C7:G7)</f>
        <v>-375401.53</v>
      </c>
    </row>
    <row r="8" spans="2:13" x14ac:dyDescent="0.2">
      <c r="B8" s="15" t="s">
        <v>161</v>
      </c>
      <c r="C8" s="210"/>
      <c r="D8" s="210"/>
      <c r="E8" s="207">
        <f>+'Tabelle SP e CE appendice A'!E8</f>
        <v>2179784.4600000009</v>
      </c>
      <c r="F8" s="207"/>
      <c r="G8" s="207"/>
      <c r="H8" s="207">
        <f t="shared" si="0"/>
        <v>2179784.4600000009</v>
      </c>
    </row>
    <row r="9" spans="2:13" x14ac:dyDescent="0.2">
      <c r="B9" s="15" t="s">
        <v>162</v>
      </c>
      <c r="C9" s="210"/>
      <c r="D9" s="210"/>
      <c r="E9" s="207">
        <f>-'Tabelle SP e CE appendice A'!E32</f>
        <v>-3409.3000000000466</v>
      </c>
      <c r="F9" s="207"/>
      <c r="G9" s="207"/>
      <c r="H9" s="207">
        <f t="shared" si="0"/>
        <v>-3409.3000000000466</v>
      </c>
    </row>
    <row r="10" spans="2:13" x14ac:dyDescent="0.2">
      <c r="B10" s="197" t="s">
        <v>1403</v>
      </c>
      <c r="C10" s="210"/>
      <c r="D10" s="210"/>
      <c r="E10" s="207">
        <f>-'Tabelle SP e CE appendice A'!E31</f>
        <v>55866.16</v>
      </c>
      <c r="F10" s="207"/>
      <c r="G10" s="207"/>
      <c r="H10" s="207">
        <f t="shared" ref="H10" si="1">SUM(C10:G10)</f>
        <v>55866.16</v>
      </c>
      <c r="M10" s="16"/>
    </row>
    <row r="11" spans="2:13" x14ac:dyDescent="0.2">
      <c r="B11" s="197" t="s">
        <v>1401</v>
      </c>
      <c r="C11" s="210"/>
      <c r="D11" s="210"/>
      <c r="E11" s="207">
        <f>+'Tabelle SP e CE appendice A'!E18-'Tabelle SP e CE appendice A'!E34-'Tabelle SP e CE appendice A'!E39</f>
        <v>110078.21599635389</v>
      </c>
      <c r="F11" s="207"/>
      <c r="G11" s="207"/>
      <c r="H11" s="207">
        <f t="shared" si="0"/>
        <v>110078.21599635389</v>
      </c>
    </row>
    <row r="12" spans="2:13" ht="12" thickBot="1" x14ac:dyDescent="0.25">
      <c r="B12" s="15" t="s">
        <v>163</v>
      </c>
      <c r="C12" s="210"/>
      <c r="D12" s="210"/>
      <c r="E12" s="207">
        <f>+'Tabelle SP e CE appendice A'!E11-'Tabelle SP e CE appendice A'!E33</f>
        <v>-2899535.4426028547</v>
      </c>
      <c r="F12" s="207"/>
      <c r="G12" s="207"/>
      <c r="H12" s="207">
        <f t="shared" si="0"/>
        <v>-2899535.4426028547</v>
      </c>
    </row>
    <row r="13" spans="2:13" ht="12" thickBot="1" x14ac:dyDescent="0.25">
      <c r="B13" s="49" t="s">
        <v>164</v>
      </c>
      <c r="C13" s="433">
        <f t="shared" ref="C13:G13" si="2">SUM(C7:C12)</f>
        <v>0</v>
      </c>
      <c r="D13" s="433">
        <f t="shared" si="2"/>
        <v>0</v>
      </c>
      <c r="E13" s="433">
        <f t="shared" si="2"/>
        <v>-932617.43660650006</v>
      </c>
      <c r="F13" s="433">
        <f t="shared" si="2"/>
        <v>0</v>
      </c>
      <c r="G13" s="433">
        <f t="shared" si="2"/>
        <v>0</v>
      </c>
      <c r="H13" s="433">
        <f>SUM(H7:H12)</f>
        <v>-932617.43660650006</v>
      </c>
    </row>
    <row r="14" spans="2:13" ht="12.75" thickTop="1" thickBot="1" x14ac:dyDescent="0.25">
      <c r="B14" s="194"/>
      <c r="C14" s="206"/>
      <c r="D14" s="206"/>
      <c r="E14" s="206"/>
      <c r="F14" s="206"/>
      <c r="G14" s="206"/>
      <c r="H14" s="206"/>
    </row>
    <row r="15" spans="2:13" ht="12" thickBot="1" x14ac:dyDescent="0.25">
      <c r="B15" s="41" t="s">
        <v>1404</v>
      </c>
      <c r="C15" s="211">
        <f>+C13+C4</f>
        <v>5300000</v>
      </c>
      <c r="D15" s="211">
        <f t="shared" ref="D15:H15" si="3">+D13+D4</f>
        <v>0</v>
      </c>
      <c r="E15" s="211">
        <f t="shared" si="3"/>
        <v>-932617.43660650006</v>
      </c>
      <c r="F15" s="211">
        <f t="shared" si="3"/>
        <v>568917.81999999995</v>
      </c>
      <c r="G15" s="211">
        <f t="shared" si="3"/>
        <v>52296.989999984158</v>
      </c>
      <c r="H15" s="211">
        <f t="shared" si="3"/>
        <v>4988597.3733934844</v>
      </c>
    </row>
    <row r="16" spans="2:13" ht="12" thickTop="1" x14ac:dyDescent="0.2">
      <c r="B16" s="194"/>
      <c r="C16" s="206"/>
      <c r="D16" s="206"/>
      <c r="E16" s="206"/>
      <c r="F16" s="206"/>
      <c r="G16" s="206"/>
      <c r="H16" s="206"/>
    </row>
    <row r="17" spans="2:13" x14ac:dyDescent="0.2">
      <c r="B17" s="9" t="s">
        <v>1310</v>
      </c>
      <c r="C17" s="212"/>
      <c r="D17" s="212"/>
      <c r="E17" s="212"/>
      <c r="F17" s="212">
        <f>-G17</f>
        <v>52296.989999984158</v>
      </c>
      <c r="G17" s="212">
        <f>-G4</f>
        <v>-52296.989999984158</v>
      </c>
      <c r="H17" s="207">
        <f t="shared" si="0"/>
        <v>0</v>
      </c>
    </row>
    <row r="18" spans="2:13" x14ac:dyDescent="0.2">
      <c r="B18" s="16" t="s">
        <v>1148</v>
      </c>
      <c r="C18" s="207"/>
      <c r="D18" s="207"/>
      <c r="E18" s="207"/>
      <c r="F18" s="207"/>
      <c r="G18" s="207"/>
      <c r="H18" s="207">
        <f t="shared" si="0"/>
        <v>0</v>
      </c>
    </row>
    <row r="19" spans="2:13" x14ac:dyDescent="0.2">
      <c r="B19" s="9" t="s">
        <v>1405</v>
      </c>
      <c r="C19" s="206"/>
      <c r="D19" s="206"/>
      <c r="E19" s="207"/>
      <c r="F19" s="207"/>
      <c r="G19" s="207">
        <f>+'Prospetto di ricon PN ifrs'!I11</f>
        <v>-200738.2736849346</v>
      </c>
      <c r="H19" s="207">
        <f t="shared" si="0"/>
        <v>-200738.2736849346</v>
      </c>
    </row>
    <row r="20" spans="2:13" s="274" customFormat="1" x14ac:dyDescent="0.2">
      <c r="B20" s="196" t="s">
        <v>1150</v>
      </c>
      <c r="C20" s="434"/>
      <c r="D20" s="434"/>
      <c r="E20" s="434"/>
      <c r="F20" s="434"/>
      <c r="G20" s="434">
        <f>+F25</f>
        <v>-154429.23314493458</v>
      </c>
      <c r="H20" s="434">
        <f t="shared" ref="H20:H21" si="4">SUM(C20:G20)</f>
        <v>-154429.23314493458</v>
      </c>
      <c r="M20" s="435"/>
    </row>
    <row r="21" spans="2:13" s="274" customFormat="1" x14ac:dyDescent="0.2">
      <c r="B21" s="196" t="s">
        <v>1151</v>
      </c>
      <c r="C21" s="434"/>
      <c r="D21" s="434"/>
      <c r="E21" s="434"/>
      <c r="F21" s="434"/>
      <c r="G21" s="434">
        <f>+D25</f>
        <v>-46309.040540000016</v>
      </c>
      <c r="H21" s="434">
        <f t="shared" si="4"/>
        <v>-46309.040540000016</v>
      </c>
      <c r="M21" s="435"/>
    </row>
    <row r="22" spans="2:13" ht="12" thickBot="1" x14ac:dyDescent="0.25">
      <c r="B22" s="194"/>
      <c r="C22" s="206"/>
      <c r="D22" s="206"/>
      <c r="E22" s="207"/>
      <c r="F22" s="207"/>
      <c r="G22" s="207"/>
      <c r="H22" s="207"/>
    </row>
    <row r="23" spans="2:13" ht="12" thickBot="1" x14ac:dyDescent="0.25">
      <c r="B23" s="41" t="s">
        <v>1145</v>
      </c>
      <c r="C23" s="211">
        <f>+C17+C18+C19+C15</f>
        <v>5300000</v>
      </c>
      <c r="D23" s="211">
        <f t="shared" ref="D23:H23" si="5">+D17+D18+D19+D15</f>
        <v>0</v>
      </c>
      <c r="E23" s="211">
        <f t="shared" si="5"/>
        <v>-932617.43660650006</v>
      </c>
      <c r="F23" s="211">
        <f t="shared" si="5"/>
        <v>621214.80999998411</v>
      </c>
      <c r="G23" s="211">
        <f t="shared" si="5"/>
        <v>-200738.2736849346</v>
      </c>
      <c r="H23" s="211">
        <f t="shared" si="5"/>
        <v>4787859.0997085497</v>
      </c>
    </row>
    <row r="24" spans="2:13" ht="12" thickTop="1" x14ac:dyDescent="0.2">
      <c r="C24" s="207"/>
      <c r="D24" s="207"/>
      <c r="E24" s="207"/>
      <c r="F24" s="207"/>
      <c r="G24" s="207"/>
      <c r="H24" s="207"/>
    </row>
    <row r="25" spans="2:13" x14ac:dyDescent="0.2">
      <c r="B25" s="16" t="s">
        <v>1147</v>
      </c>
      <c r="C25" s="207"/>
      <c r="D25" s="207">
        <f>-G25-F25</f>
        <v>-46309.040540000016</v>
      </c>
      <c r="E25" s="207"/>
      <c r="F25" s="207">
        <f>+'Prospetto di ricon PN ifrs'!F13+'Prospetto di ricon PN ifrs'!D13</f>
        <v>-154429.23314493458</v>
      </c>
      <c r="G25" s="207">
        <f>-G23</f>
        <v>200738.2736849346</v>
      </c>
      <c r="H25" s="207">
        <f t="shared" ref="H25:H29" si="6">SUM(C25:G25)</f>
        <v>0</v>
      </c>
    </row>
    <row r="26" spans="2:13" x14ac:dyDescent="0.2">
      <c r="B26" s="16" t="s">
        <v>1148</v>
      </c>
      <c r="C26" s="207"/>
      <c r="D26" s="207"/>
      <c r="E26" s="207"/>
      <c r="F26" s="207"/>
      <c r="G26" s="207"/>
      <c r="H26" s="207">
        <f t="shared" si="6"/>
        <v>0</v>
      </c>
    </row>
    <row r="27" spans="2:13" x14ac:dyDescent="0.2">
      <c r="B27" s="16" t="s">
        <v>1149</v>
      </c>
      <c r="C27" s="207"/>
      <c r="D27" s="207"/>
      <c r="E27" s="207"/>
      <c r="F27" s="207"/>
      <c r="G27" s="207"/>
      <c r="H27" s="207"/>
    </row>
    <row r="28" spans="2:13" x14ac:dyDescent="0.2">
      <c r="B28" s="196" t="s">
        <v>1150</v>
      </c>
      <c r="C28" s="207"/>
      <c r="D28" s="207"/>
      <c r="E28" s="207"/>
      <c r="F28" s="207"/>
      <c r="G28" s="207">
        <f>+'Prospetto di ricon PN ifrs'!I16</f>
        <v>133185.59833904766</v>
      </c>
      <c r="H28" s="207">
        <f t="shared" si="6"/>
        <v>133185.59833904766</v>
      </c>
    </row>
    <row r="29" spans="2:13" x14ac:dyDescent="0.2">
      <c r="B29" s="196" t="s">
        <v>1151</v>
      </c>
      <c r="C29" s="207"/>
      <c r="D29" s="207"/>
      <c r="E29" s="207"/>
      <c r="F29" s="207"/>
      <c r="G29" s="207">
        <f>+'Prospetto di ricon PN ifrs'!I17</f>
        <v>16912.506800000021</v>
      </c>
      <c r="H29" s="207">
        <f t="shared" si="6"/>
        <v>16912.506800000021</v>
      </c>
    </row>
    <row r="30" spans="2:13" ht="12" thickBot="1" x14ac:dyDescent="0.25">
      <c r="C30" s="207"/>
      <c r="D30" s="207"/>
      <c r="E30" s="207"/>
      <c r="F30" s="207"/>
      <c r="G30" s="207"/>
      <c r="H30" s="207"/>
    </row>
    <row r="31" spans="2:13" ht="12" thickBot="1" x14ac:dyDescent="0.25">
      <c r="B31" s="41" t="s">
        <v>1152</v>
      </c>
      <c r="C31" s="211">
        <f t="shared" ref="C31:H31" si="7">SUM(C23:C30)</f>
        <v>5300000</v>
      </c>
      <c r="D31" s="211">
        <f t="shared" si="7"/>
        <v>-46309.040540000016</v>
      </c>
      <c r="E31" s="211">
        <f t="shared" si="7"/>
        <v>-932617.43660650006</v>
      </c>
      <c r="F31" s="211">
        <f t="shared" si="7"/>
        <v>466785.57685504953</v>
      </c>
      <c r="G31" s="211">
        <f t="shared" si="7"/>
        <v>150098.10513904769</v>
      </c>
      <c r="H31" s="211">
        <f t="shared" si="7"/>
        <v>4937957.2048475966</v>
      </c>
    </row>
    <row r="32" spans="2:13" ht="12" thickTop="1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99"/>
  <sheetViews>
    <sheetView workbookViewId="0">
      <selection activeCell="M14" sqref="M14"/>
    </sheetView>
  </sheetViews>
  <sheetFormatPr defaultRowHeight="15.75" outlineLevelCol="2" x14ac:dyDescent="0.3"/>
  <cols>
    <col min="1" max="1" width="9.125" style="89"/>
    <col min="2" max="2" width="29.25" style="89" bestFit="1" customWidth="1"/>
    <col min="3" max="3" width="3" style="89" customWidth="1"/>
    <col min="4" max="4" width="3.625" style="89" customWidth="1"/>
    <col min="5" max="7" width="12.75" style="89" customWidth="1"/>
    <col min="8" max="8" width="6.25" style="90" customWidth="1"/>
    <col min="9" max="9" width="49.375" style="89" customWidth="1"/>
    <col min="10" max="10" width="1.875" style="89" customWidth="1"/>
    <col min="11" max="11" width="1.375" style="89" customWidth="1"/>
    <col min="12" max="12" width="1.125" style="89" customWidth="1"/>
    <col min="13" max="13" width="12.75" style="89" customWidth="1" outlineLevel="1"/>
    <col min="14" max="14" width="18.375" style="89" customWidth="1" outlineLevel="2"/>
    <col min="15" max="16" width="21" style="89" customWidth="1" outlineLevel="1"/>
    <col min="17" max="17" width="13.375" style="89" customWidth="1" outlineLevel="1"/>
    <col min="18" max="18" width="12.75" style="89" customWidth="1"/>
    <col min="19" max="19" width="9.125" style="89"/>
    <col min="20" max="20" width="9.375" style="91" bestFit="1" customWidth="1"/>
    <col min="21" max="22" width="9.125" style="89"/>
    <col min="30" max="256" width="9.125" style="89"/>
    <col min="257" max="257" width="29.25" style="89" bestFit="1" customWidth="1"/>
    <col min="258" max="258" width="3" style="89" customWidth="1"/>
    <col min="259" max="259" width="3.625" style="89" customWidth="1"/>
    <col min="260" max="262" width="12.75" style="89" customWidth="1"/>
    <col min="263" max="263" width="6.25" style="89" customWidth="1"/>
    <col min="264" max="264" width="49.375" style="89" customWidth="1"/>
    <col min="265" max="265" width="1.875" style="89" customWidth="1"/>
    <col min="266" max="266" width="1.375" style="89" customWidth="1"/>
    <col min="267" max="267" width="1.125" style="89" customWidth="1"/>
    <col min="268" max="268" width="12.75" style="89" customWidth="1"/>
    <col min="269" max="269" width="18.375" style="89" customWidth="1"/>
    <col min="270" max="271" width="21" style="89" customWidth="1"/>
    <col min="272" max="273" width="13.375" style="89" customWidth="1"/>
    <col min="274" max="274" width="12.75" style="89" customWidth="1"/>
    <col min="275" max="275" width="9.125" style="89"/>
    <col min="276" max="276" width="9.375" style="89" bestFit="1" customWidth="1"/>
    <col min="277" max="512" width="9.125" style="89"/>
    <col min="513" max="513" width="29.25" style="89" bestFit="1" customWidth="1"/>
    <col min="514" max="514" width="3" style="89" customWidth="1"/>
    <col min="515" max="515" width="3.625" style="89" customWidth="1"/>
    <col min="516" max="518" width="12.75" style="89" customWidth="1"/>
    <col min="519" max="519" width="6.25" style="89" customWidth="1"/>
    <col min="520" max="520" width="49.375" style="89" customWidth="1"/>
    <col min="521" max="521" width="1.875" style="89" customWidth="1"/>
    <col min="522" max="522" width="1.375" style="89" customWidth="1"/>
    <col min="523" max="523" width="1.125" style="89" customWidth="1"/>
    <col min="524" max="524" width="12.75" style="89" customWidth="1"/>
    <col min="525" max="525" width="18.375" style="89" customWidth="1"/>
    <col min="526" max="527" width="21" style="89" customWidth="1"/>
    <col min="528" max="529" width="13.375" style="89" customWidth="1"/>
    <col min="530" max="530" width="12.75" style="89" customWidth="1"/>
    <col min="531" max="531" width="9.125" style="89"/>
    <col min="532" max="532" width="9.375" style="89" bestFit="1" customWidth="1"/>
    <col min="533" max="768" width="9.125" style="89"/>
    <col min="769" max="769" width="29.25" style="89" bestFit="1" customWidth="1"/>
    <col min="770" max="770" width="3" style="89" customWidth="1"/>
    <col min="771" max="771" width="3.625" style="89" customWidth="1"/>
    <col min="772" max="774" width="12.75" style="89" customWidth="1"/>
    <col min="775" max="775" width="6.25" style="89" customWidth="1"/>
    <col min="776" max="776" width="49.375" style="89" customWidth="1"/>
    <col min="777" max="777" width="1.875" style="89" customWidth="1"/>
    <col min="778" max="778" width="1.375" style="89" customWidth="1"/>
    <col min="779" max="779" width="1.125" style="89" customWidth="1"/>
    <col min="780" max="780" width="12.75" style="89" customWidth="1"/>
    <col min="781" max="781" width="18.375" style="89" customWidth="1"/>
    <col min="782" max="783" width="21" style="89" customWidth="1"/>
    <col min="784" max="785" width="13.375" style="89" customWidth="1"/>
    <col min="786" max="786" width="12.75" style="89" customWidth="1"/>
    <col min="787" max="787" width="9.125" style="89"/>
    <col min="788" max="788" width="9.375" style="89" bestFit="1" customWidth="1"/>
    <col min="789" max="1024" width="9.125" style="89"/>
    <col min="1025" max="1025" width="29.25" style="89" bestFit="1" customWidth="1"/>
    <col min="1026" max="1026" width="3" style="89" customWidth="1"/>
    <col min="1027" max="1027" width="3.625" style="89" customWidth="1"/>
    <col min="1028" max="1030" width="12.75" style="89" customWidth="1"/>
    <col min="1031" max="1031" width="6.25" style="89" customWidth="1"/>
    <col min="1032" max="1032" width="49.375" style="89" customWidth="1"/>
    <col min="1033" max="1033" width="1.875" style="89" customWidth="1"/>
    <col min="1034" max="1034" width="1.375" style="89" customWidth="1"/>
    <col min="1035" max="1035" width="1.125" style="89" customWidth="1"/>
    <col min="1036" max="1036" width="12.75" style="89" customWidth="1"/>
    <col min="1037" max="1037" width="18.375" style="89" customWidth="1"/>
    <col min="1038" max="1039" width="21" style="89" customWidth="1"/>
    <col min="1040" max="1041" width="13.375" style="89" customWidth="1"/>
    <col min="1042" max="1042" width="12.75" style="89" customWidth="1"/>
    <col min="1043" max="1043" width="9.125" style="89"/>
    <col min="1044" max="1044" width="9.375" style="89" bestFit="1" customWidth="1"/>
    <col min="1045" max="1280" width="9.125" style="89"/>
    <col min="1281" max="1281" width="29.25" style="89" bestFit="1" customWidth="1"/>
    <col min="1282" max="1282" width="3" style="89" customWidth="1"/>
    <col min="1283" max="1283" width="3.625" style="89" customWidth="1"/>
    <col min="1284" max="1286" width="12.75" style="89" customWidth="1"/>
    <col min="1287" max="1287" width="6.25" style="89" customWidth="1"/>
    <col min="1288" max="1288" width="49.375" style="89" customWidth="1"/>
    <col min="1289" max="1289" width="1.875" style="89" customWidth="1"/>
    <col min="1290" max="1290" width="1.375" style="89" customWidth="1"/>
    <col min="1291" max="1291" width="1.125" style="89" customWidth="1"/>
    <col min="1292" max="1292" width="12.75" style="89" customWidth="1"/>
    <col min="1293" max="1293" width="18.375" style="89" customWidth="1"/>
    <col min="1294" max="1295" width="21" style="89" customWidth="1"/>
    <col min="1296" max="1297" width="13.375" style="89" customWidth="1"/>
    <col min="1298" max="1298" width="12.75" style="89" customWidth="1"/>
    <col min="1299" max="1299" width="9.125" style="89"/>
    <col min="1300" max="1300" width="9.375" style="89" bestFit="1" customWidth="1"/>
    <col min="1301" max="1536" width="9.125" style="89"/>
    <col min="1537" max="1537" width="29.25" style="89" bestFit="1" customWidth="1"/>
    <col min="1538" max="1538" width="3" style="89" customWidth="1"/>
    <col min="1539" max="1539" width="3.625" style="89" customWidth="1"/>
    <col min="1540" max="1542" width="12.75" style="89" customWidth="1"/>
    <col min="1543" max="1543" width="6.25" style="89" customWidth="1"/>
    <col min="1544" max="1544" width="49.375" style="89" customWidth="1"/>
    <col min="1545" max="1545" width="1.875" style="89" customWidth="1"/>
    <col min="1546" max="1546" width="1.375" style="89" customWidth="1"/>
    <col min="1547" max="1547" width="1.125" style="89" customWidth="1"/>
    <col min="1548" max="1548" width="12.75" style="89" customWidth="1"/>
    <col min="1549" max="1549" width="18.375" style="89" customWidth="1"/>
    <col min="1550" max="1551" width="21" style="89" customWidth="1"/>
    <col min="1552" max="1553" width="13.375" style="89" customWidth="1"/>
    <col min="1554" max="1554" width="12.75" style="89" customWidth="1"/>
    <col min="1555" max="1555" width="9.125" style="89"/>
    <col min="1556" max="1556" width="9.375" style="89" bestFit="1" customWidth="1"/>
    <col min="1557" max="1792" width="9.125" style="89"/>
    <col min="1793" max="1793" width="29.25" style="89" bestFit="1" customWidth="1"/>
    <col min="1794" max="1794" width="3" style="89" customWidth="1"/>
    <col min="1795" max="1795" width="3.625" style="89" customWidth="1"/>
    <col min="1796" max="1798" width="12.75" style="89" customWidth="1"/>
    <col min="1799" max="1799" width="6.25" style="89" customWidth="1"/>
    <col min="1800" max="1800" width="49.375" style="89" customWidth="1"/>
    <col min="1801" max="1801" width="1.875" style="89" customWidth="1"/>
    <col min="1802" max="1802" width="1.375" style="89" customWidth="1"/>
    <col min="1803" max="1803" width="1.125" style="89" customWidth="1"/>
    <col min="1804" max="1804" width="12.75" style="89" customWidth="1"/>
    <col min="1805" max="1805" width="18.375" style="89" customWidth="1"/>
    <col min="1806" max="1807" width="21" style="89" customWidth="1"/>
    <col min="1808" max="1809" width="13.375" style="89" customWidth="1"/>
    <col min="1810" max="1810" width="12.75" style="89" customWidth="1"/>
    <col min="1811" max="1811" width="9.125" style="89"/>
    <col min="1812" max="1812" width="9.375" style="89" bestFit="1" customWidth="1"/>
    <col min="1813" max="2048" width="9.125" style="89"/>
    <col min="2049" max="2049" width="29.25" style="89" bestFit="1" customWidth="1"/>
    <col min="2050" max="2050" width="3" style="89" customWidth="1"/>
    <col min="2051" max="2051" width="3.625" style="89" customWidth="1"/>
    <col min="2052" max="2054" width="12.75" style="89" customWidth="1"/>
    <col min="2055" max="2055" width="6.25" style="89" customWidth="1"/>
    <col min="2056" max="2056" width="49.375" style="89" customWidth="1"/>
    <col min="2057" max="2057" width="1.875" style="89" customWidth="1"/>
    <col min="2058" max="2058" width="1.375" style="89" customWidth="1"/>
    <col min="2059" max="2059" width="1.125" style="89" customWidth="1"/>
    <col min="2060" max="2060" width="12.75" style="89" customWidth="1"/>
    <col min="2061" max="2061" width="18.375" style="89" customWidth="1"/>
    <col min="2062" max="2063" width="21" style="89" customWidth="1"/>
    <col min="2064" max="2065" width="13.375" style="89" customWidth="1"/>
    <col min="2066" max="2066" width="12.75" style="89" customWidth="1"/>
    <col min="2067" max="2067" width="9.125" style="89"/>
    <col min="2068" max="2068" width="9.375" style="89" bestFit="1" customWidth="1"/>
    <col min="2069" max="2304" width="9.125" style="89"/>
    <col min="2305" max="2305" width="29.25" style="89" bestFit="1" customWidth="1"/>
    <col min="2306" max="2306" width="3" style="89" customWidth="1"/>
    <col min="2307" max="2307" width="3.625" style="89" customWidth="1"/>
    <col min="2308" max="2310" width="12.75" style="89" customWidth="1"/>
    <col min="2311" max="2311" width="6.25" style="89" customWidth="1"/>
    <col min="2312" max="2312" width="49.375" style="89" customWidth="1"/>
    <col min="2313" max="2313" width="1.875" style="89" customWidth="1"/>
    <col min="2314" max="2314" width="1.375" style="89" customWidth="1"/>
    <col min="2315" max="2315" width="1.125" style="89" customWidth="1"/>
    <col min="2316" max="2316" width="12.75" style="89" customWidth="1"/>
    <col min="2317" max="2317" width="18.375" style="89" customWidth="1"/>
    <col min="2318" max="2319" width="21" style="89" customWidth="1"/>
    <col min="2320" max="2321" width="13.375" style="89" customWidth="1"/>
    <col min="2322" max="2322" width="12.75" style="89" customWidth="1"/>
    <col min="2323" max="2323" width="9.125" style="89"/>
    <col min="2324" max="2324" width="9.375" style="89" bestFit="1" customWidth="1"/>
    <col min="2325" max="2560" width="9.125" style="89"/>
    <col min="2561" max="2561" width="29.25" style="89" bestFit="1" customWidth="1"/>
    <col min="2562" max="2562" width="3" style="89" customWidth="1"/>
    <col min="2563" max="2563" width="3.625" style="89" customWidth="1"/>
    <col min="2564" max="2566" width="12.75" style="89" customWidth="1"/>
    <col min="2567" max="2567" width="6.25" style="89" customWidth="1"/>
    <col min="2568" max="2568" width="49.375" style="89" customWidth="1"/>
    <col min="2569" max="2569" width="1.875" style="89" customWidth="1"/>
    <col min="2570" max="2570" width="1.375" style="89" customWidth="1"/>
    <col min="2571" max="2571" width="1.125" style="89" customWidth="1"/>
    <col min="2572" max="2572" width="12.75" style="89" customWidth="1"/>
    <col min="2573" max="2573" width="18.375" style="89" customWidth="1"/>
    <col min="2574" max="2575" width="21" style="89" customWidth="1"/>
    <col min="2576" max="2577" width="13.375" style="89" customWidth="1"/>
    <col min="2578" max="2578" width="12.75" style="89" customWidth="1"/>
    <col min="2579" max="2579" width="9.125" style="89"/>
    <col min="2580" max="2580" width="9.375" style="89" bestFit="1" customWidth="1"/>
    <col min="2581" max="2816" width="9.125" style="89"/>
    <col min="2817" max="2817" width="29.25" style="89" bestFit="1" customWidth="1"/>
    <col min="2818" max="2818" width="3" style="89" customWidth="1"/>
    <col min="2819" max="2819" width="3.625" style="89" customWidth="1"/>
    <col min="2820" max="2822" width="12.75" style="89" customWidth="1"/>
    <col min="2823" max="2823" width="6.25" style="89" customWidth="1"/>
    <col min="2824" max="2824" width="49.375" style="89" customWidth="1"/>
    <col min="2825" max="2825" width="1.875" style="89" customWidth="1"/>
    <col min="2826" max="2826" width="1.375" style="89" customWidth="1"/>
    <col min="2827" max="2827" width="1.125" style="89" customWidth="1"/>
    <col min="2828" max="2828" width="12.75" style="89" customWidth="1"/>
    <col min="2829" max="2829" width="18.375" style="89" customWidth="1"/>
    <col min="2830" max="2831" width="21" style="89" customWidth="1"/>
    <col min="2832" max="2833" width="13.375" style="89" customWidth="1"/>
    <col min="2834" max="2834" width="12.75" style="89" customWidth="1"/>
    <col min="2835" max="2835" width="9.125" style="89"/>
    <col min="2836" max="2836" width="9.375" style="89" bestFit="1" customWidth="1"/>
    <col min="2837" max="3072" width="9.125" style="89"/>
    <col min="3073" max="3073" width="29.25" style="89" bestFit="1" customWidth="1"/>
    <col min="3074" max="3074" width="3" style="89" customWidth="1"/>
    <col min="3075" max="3075" width="3.625" style="89" customWidth="1"/>
    <col min="3076" max="3078" width="12.75" style="89" customWidth="1"/>
    <col min="3079" max="3079" width="6.25" style="89" customWidth="1"/>
    <col min="3080" max="3080" width="49.375" style="89" customWidth="1"/>
    <col min="3081" max="3081" width="1.875" style="89" customWidth="1"/>
    <col min="3082" max="3082" width="1.375" style="89" customWidth="1"/>
    <col min="3083" max="3083" width="1.125" style="89" customWidth="1"/>
    <col min="3084" max="3084" width="12.75" style="89" customWidth="1"/>
    <col min="3085" max="3085" width="18.375" style="89" customWidth="1"/>
    <col min="3086" max="3087" width="21" style="89" customWidth="1"/>
    <col min="3088" max="3089" width="13.375" style="89" customWidth="1"/>
    <col min="3090" max="3090" width="12.75" style="89" customWidth="1"/>
    <col min="3091" max="3091" width="9.125" style="89"/>
    <col min="3092" max="3092" width="9.375" style="89" bestFit="1" customWidth="1"/>
    <col min="3093" max="3328" width="9.125" style="89"/>
    <col min="3329" max="3329" width="29.25" style="89" bestFit="1" customWidth="1"/>
    <col min="3330" max="3330" width="3" style="89" customWidth="1"/>
    <col min="3331" max="3331" width="3.625" style="89" customWidth="1"/>
    <col min="3332" max="3334" width="12.75" style="89" customWidth="1"/>
    <col min="3335" max="3335" width="6.25" style="89" customWidth="1"/>
    <col min="3336" max="3336" width="49.375" style="89" customWidth="1"/>
    <col min="3337" max="3337" width="1.875" style="89" customWidth="1"/>
    <col min="3338" max="3338" width="1.375" style="89" customWidth="1"/>
    <col min="3339" max="3339" width="1.125" style="89" customWidth="1"/>
    <col min="3340" max="3340" width="12.75" style="89" customWidth="1"/>
    <col min="3341" max="3341" width="18.375" style="89" customWidth="1"/>
    <col min="3342" max="3343" width="21" style="89" customWidth="1"/>
    <col min="3344" max="3345" width="13.375" style="89" customWidth="1"/>
    <col min="3346" max="3346" width="12.75" style="89" customWidth="1"/>
    <col min="3347" max="3347" width="9.125" style="89"/>
    <col min="3348" max="3348" width="9.375" style="89" bestFit="1" customWidth="1"/>
    <col min="3349" max="3584" width="9.125" style="89"/>
    <col min="3585" max="3585" width="29.25" style="89" bestFit="1" customWidth="1"/>
    <col min="3586" max="3586" width="3" style="89" customWidth="1"/>
    <col min="3587" max="3587" width="3.625" style="89" customWidth="1"/>
    <col min="3588" max="3590" width="12.75" style="89" customWidth="1"/>
    <col min="3591" max="3591" width="6.25" style="89" customWidth="1"/>
    <col min="3592" max="3592" width="49.375" style="89" customWidth="1"/>
    <col min="3593" max="3593" width="1.875" style="89" customWidth="1"/>
    <col min="3594" max="3594" width="1.375" style="89" customWidth="1"/>
    <col min="3595" max="3595" width="1.125" style="89" customWidth="1"/>
    <col min="3596" max="3596" width="12.75" style="89" customWidth="1"/>
    <col min="3597" max="3597" width="18.375" style="89" customWidth="1"/>
    <col min="3598" max="3599" width="21" style="89" customWidth="1"/>
    <col min="3600" max="3601" width="13.375" style="89" customWidth="1"/>
    <col min="3602" max="3602" width="12.75" style="89" customWidth="1"/>
    <col min="3603" max="3603" width="9.125" style="89"/>
    <col min="3604" max="3604" width="9.375" style="89" bestFit="1" customWidth="1"/>
    <col min="3605" max="3840" width="9.125" style="89"/>
    <col min="3841" max="3841" width="29.25" style="89" bestFit="1" customWidth="1"/>
    <col min="3842" max="3842" width="3" style="89" customWidth="1"/>
    <col min="3843" max="3843" width="3.625" style="89" customWidth="1"/>
    <col min="3844" max="3846" width="12.75" style="89" customWidth="1"/>
    <col min="3847" max="3847" width="6.25" style="89" customWidth="1"/>
    <col min="3848" max="3848" width="49.375" style="89" customWidth="1"/>
    <col min="3849" max="3849" width="1.875" style="89" customWidth="1"/>
    <col min="3850" max="3850" width="1.375" style="89" customWidth="1"/>
    <col min="3851" max="3851" width="1.125" style="89" customWidth="1"/>
    <col min="3852" max="3852" width="12.75" style="89" customWidth="1"/>
    <col min="3853" max="3853" width="18.375" style="89" customWidth="1"/>
    <col min="3854" max="3855" width="21" style="89" customWidth="1"/>
    <col min="3856" max="3857" width="13.375" style="89" customWidth="1"/>
    <col min="3858" max="3858" width="12.75" style="89" customWidth="1"/>
    <col min="3859" max="3859" width="9.125" style="89"/>
    <col min="3860" max="3860" width="9.375" style="89" bestFit="1" customWidth="1"/>
    <col min="3861" max="4096" width="9.125" style="89"/>
    <col min="4097" max="4097" width="29.25" style="89" bestFit="1" customWidth="1"/>
    <col min="4098" max="4098" width="3" style="89" customWidth="1"/>
    <col min="4099" max="4099" width="3.625" style="89" customWidth="1"/>
    <col min="4100" max="4102" width="12.75" style="89" customWidth="1"/>
    <col min="4103" max="4103" width="6.25" style="89" customWidth="1"/>
    <col min="4104" max="4104" width="49.375" style="89" customWidth="1"/>
    <col min="4105" max="4105" width="1.875" style="89" customWidth="1"/>
    <col min="4106" max="4106" width="1.375" style="89" customWidth="1"/>
    <col min="4107" max="4107" width="1.125" style="89" customWidth="1"/>
    <col min="4108" max="4108" width="12.75" style="89" customWidth="1"/>
    <col min="4109" max="4109" width="18.375" style="89" customWidth="1"/>
    <col min="4110" max="4111" width="21" style="89" customWidth="1"/>
    <col min="4112" max="4113" width="13.375" style="89" customWidth="1"/>
    <col min="4114" max="4114" width="12.75" style="89" customWidth="1"/>
    <col min="4115" max="4115" width="9.125" style="89"/>
    <col min="4116" max="4116" width="9.375" style="89" bestFit="1" customWidth="1"/>
    <col min="4117" max="4352" width="9.125" style="89"/>
    <col min="4353" max="4353" width="29.25" style="89" bestFit="1" customWidth="1"/>
    <col min="4354" max="4354" width="3" style="89" customWidth="1"/>
    <col min="4355" max="4355" width="3.625" style="89" customWidth="1"/>
    <col min="4356" max="4358" width="12.75" style="89" customWidth="1"/>
    <col min="4359" max="4359" width="6.25" style="89" customWidth="1"/>
    <col min="4360" max="4360" width="49.375" style="89" customWidth="1"/>
    <col min="4361" max="4361" width="1.875" style="89" customWidth="1"/>
    <col min="4362" max="4362" width="1.375" style="89" customWidth="1"/>
    <col min="4363" max="4363" width="1.125" style="89" customWidth="1"/>
    <col min="4364" max="4364" width="12.75" style="89" customWidth="1"/>
    <col min="4365" max="4365" width="18.375" style="89" customWidth="1"/>
    <col min="4366" max="4367" width="21" style="89" customWidth="1"/>
    <col min="4368" max="4369" width="13.375" style="89" customWidth="1"/>
    <col min="4370" max="4370" width="12.75" style="89" customWidth="1"/>
    <col min="4371" max="4371" width="9.125" style="89"/>
    <col min="4372" max="4372" width="9.375" style="89" bestFit="1" customWidth="1"/>
    <col min="4373" max="4608" width="9.125" style="89"/>
    <col min="4609" max="4609" width="29.25" style="89" bestFit="1" customWidth="1"/>
    <col min="4610" max="4610" width="3" style="89" customWidth="1"/>
    <col min="4611" max="4611" width="3.625" style="89" customWidth="1"/>
    <col min="4612" max="4614" width="12.75" style="89" customWidth="1"/>
    <col min="4615" max="4615" width="6.25" style="89" customWidth="1"/>
    <col min="4616" max="4616" width="49.375" style="89" customWidth="1"/>
    <col min="4617" max="4617" width="1.875" style="89" customWidth="1"/>
    <col min="4618" max="4618" width="1.375" style="89" customWidth="1"/>
    <col min="4619" max="4619" width="1.125" style="89" customWidth="1"/>
    <col min="4620" max="4620" width="12.75" style="89" customWidth="1"/>
    <col min="4621" max="4621" width="18.375" style="89" customWidth="1"/>
    <col min="4622" max="4623" width="21" style="89" customWidth="1"/>
    <col min="4624" max="4625" width="13.375" style="89" customWidth="1"/>
    <col min="4626" max="4626" width="12.75" style="89" customWidth="1"/>
    <col min="4627" max="4627" width="9.125" style="89"/>
    <col min="4628" max="4628" width="9.375" style="89" bestFit="1" customWidth="1"/>
    <col min="4629" max="4864" width="9.125" style="89"/>
    <col min="4865" max="4865" width="29.25" style="89" bestFit="1" customWidth="1"/>
    <col min="4866" max="4866" width="3" style="89" customWidth="1"/>
    <col min="4867" max="4867" width="3.625" style="89" customWidth="1"/>
    <col min="4868" max="4870" width="12.75" style="89" customWidth="1"/>
    <col min="4871" max="4871" width="6.25" style="89" customWidth="1"/>
    <col min="4872" max="4872" width="49.375" style="89" customWidth="1"/>
    <col min="4873" max="4873" width="1.875" style="89" customWidth="1"/>
    <col min="4874" max="4874" width="1.375" style="89" customWidth="1"/>
    <col min="4875" max="4875" width="1.125" style="89" customWidth="1"/>
    <col min="4876" max="4876" width="12.75" style="89" customWidth="1"/>
    <col min="4877" max="4877" width="18.375" style="89" customWidth="1"/>
    <col min="4878" max="4879" width="21" style="89" customWidth="1"/>
    <col min="4880" max="4881" width="13.375" style="89" customWidth="1"/>
    <col min="4882" max="4882" width="12.75" style="89" customWidth="1"/>
    <col min="4883" max="4883" width="9.125" style="89"/>
    <col min="4884" max="4884" width="9.375" style="89" bestFit="1" customWidth="1"/>
    <col min="4885" max="5120" width="9.125" style="89"/>
    <col min="5121" max="5121" width="29.25" style="89" bestFit="1" customWidth="1"/>
    <col min="5122" max="5122" width="3" style="89" customWidth="1"/>
    <col min="5123" max="5123" width="3.625" style="89" customWidth="1"/>
    <col min="5124" max="5126" width="12.75" style="89" customWidth="1"/>
    <col min="5127" max="5127" width="6.25" style="89" customWidth="1"/>
    <col min="5128" max="5128" width="49.375" style="89" customWidth="1"/>
    <col min="5129" max="5129" width="1.875" style="89" customWidth="1"/>
    <col min="5130" max="5130" width="1.375" style="89" customWidth="1"/>
    <col min="5131" max="5131" width="1.125" style="89" customWidth="1"/>
    <col min="5132" max="5132" width="12.75" style="89" customWidth="1"/>
    <col min="5133" max="5133" width="18.375" style="89" customWidth="1"/>
    <col min="5134" max="5135" width="21" style="89" customWidth="1"/>
    <col min="5136" max="5137" width="13.375" style="89" customWidth="1"/>
    <col min="5138" max="5138" width="12.75" style="89" customWidth="1"/>
    <col min="5139" max="5139" width="9.125" style="89"/>
    <col min="5140" max="5140" width="9.375" style="89" bestFit="1" customWidth="1"/>
    <col min="5141" max="5376" width="9.125" style="89"/>
    <col min="5377" max="5377" width="29.25" style="89" bestFit="1" customWidth="1"/>
    <col min="5378" max="5378" width="3" style="89" customWidth="1"/>
    <col min="5379" max="5379" width="3.625" style="89" customWidth="1"/>
    <col min="5380" max="5382" width="12.75" style="89" customWidth="1"/>
    <col min="5383" max="5383" width="6.25" style="89" customWidth="1"/>
    <col min="5384" max="5384" width="49.375" style="89" customWidth="1"/>
    <col min="5385" max="5385" width="1.875" style="89" customWidth="1"/>
    <col min="5386" max="5386" width="1.375" style="89" customWidth="1"/>
    <col min="5387" max="5387" width="1.125" style="89" customWidth="1"/>
    <col min="5388" max="5388" width="12.75" style="89" customWidth="1"/>
    <col min="5389" max="5389" width="18.375" style="89" customWidth="1"/>
    <col min="5390" max="5391" width="21" style="89" customWidth="1"/>
    <col min="5392" max="5393" width="13.375" style="89" customWidth="1"/>
    <col min="5394" max="5394" width="12.75" style="89" customWidth="1"/>
    <col min="5395" max="5395" width="9.125" style="89"/>
    <col min="5396" max="5396" width="9.375" style="89" bestFit="1" customWidth="1"/>
    <col min="5397" max="5632" width="9.125" style="89"/>
    <col min="5633" max="5633" width="29.25" style="89" bestFit="1" customWidth="1"/>
    <col min="5634" max="5634" width="3" style="89" customWidth="1"/>
    <col min="5635" max="5635" width="3.625" style="89" customWidth="1"/>
    <col min="5636" max="5638" width="12.75" style="89" customWidth="1"/>
    <col min="5639" max="5639" width="6.25" style="89" customWidth="1"/>
    <col min="5640" max="5640" width="49.375" style="89" customWidth="1"/>
    <col min="5641" max="5641" width="1.875" style="89" customWidth="1"/>
    <col min="5642" max="5642" width="1.375" style="89" customWidth="1"/>
    <col min="5643" max="5643" width="1.125" style="89" customWidth="1"/>
    <col min="5644" max="5644" width="12.75" style="89" customWidth="1"/>
    <col min="5645" max="5645" width="18.375" style="89" customWidth="1"/>
    <col min="5646" max="5647" width="21" style="89" customWidth="1"/>
    <col min="5648" max="5649" width="13.375" style="89" customWidth="1"/>
    <col min="5650" max="5650" width="12.75" style="89" customWidth="1"/>
    <col min="5651" max="5651" width="9.125" style="89"/>
    <col min="5652" max="5652" width="9.375" style="89" bestFit="1" customWidth="1"/>
    <col min="5653" max="5888" width="9.125" style="89"/>
    <col min="5889" max="5889" width="29.25" style="89" bestFit="1" customWidth="1"/>
    <col min="5890" max="5890" width="3" style="89" customWidth="1"/>
    <col min="5891" max="5891" width="3.625" style="89" customWidth="1"/>
    <col min="5892" max="5894" width="12.75" style="89" customWidth="1"/>
    <col min="5895" max="5895" width="6.25" style="89" customWidth="1"/>
    <col min="5896" max="5896" width="49.375" style="89" customWidth="1"/>
    <col min="5897" max="5897" width="1.875" style="89" customWidth="1"/>
    <col min="5898" max="5898" width="1.375" style="89" customWidth="1"/>
    <col min="5899" max="5899" width="1.125" style="89" customWidth="1"/>
    <col min="5900" max="5900" width="12.75" style="89" customWidth="1"/>
    <col min="5901" max="5901" width="18.375" style="89" customWidth="1"/>
    <col min="5902" max="5903" width="21" style="89" customWidth="1"/>
    <col min="5904" max="5905" width="13.375" style="89" customWidth="1"/>
    <col min="5906" max="5906" width="12.75" style="89" customWidth="1"/>
    <col min="5907" max="5907" width="9.125" style="89"/>
    <col min="5908" max="5908" width="9.375" style="89" bestFit="1" customWidth="1"/>
    <col min="5909" max="6144" width="9.125" style="89"/>
    <col min="6145" max="6145" width="29.25" style="89" bestFit="1" customWidth="1"/>
    <col min="6146" max="6146" width="3" style="89" customWidth="1"/>
    <col min="6147" max="6147" width="3.625" style="89" customWidth="1"/>
    <col min="6148" max="6150" width="12.75" style="89" customWidth="1"/>
    <col min="6151" max="6151" width="6.25" style="89" customWidth="1"/>
    <col min="6152" max="6152" width="49.375" style="89" customWidth="1"/>
    <col min="6153" max="6153" width="1.875" style="89" customWidth="1"/>
    <col min="6154" max="6154" width="1.375" style="89" customWidth="1"/>
    <col min="6155" max="6155" width="1.125" style="89" customWidth="1"/>
    <col min="6156" max="6156" width="12.75" style="89" customWidth="1"/>
    <col min="6157" max="6157" width="18.375" style="89" customWidth="1"/>
    <col min="6158" max="6159" width="21" style="89" customWidth="1"/>
    <col min="6160" max="6161" width="13.375" style="89" customWidth="1"/>
    <col min="6162" max="6162" width="12.75" style="89" customWidth="1"/>
    <col min="6163" max="6163" width="9.125" style="89"/>
    <col min="6164" max="6164" width="9.375" style="89" bestFit="1" customWidth="1"/>
    <col min="6165" max="6400" width="9.125" style="89"/>
    <col min="6401" max="6401" width="29.25" style="89" bestFit="1" customWidth="1"/>
    <col min="6402" max="6402" width="3" style="89" customWidth="1"/>
    <col min="6403" max="6403" width="3.625" style="89" customWidth="1"/>
    <col min="6404" max="6406" width="12.75" style="89" customWidth="1"/>
    <col min="6407" max="6407" width="6.25" style="89" customWidth="1"/>
    <col min="6408" max="6408" width="49.375" style="89" customWidth="1"/>
    <col min="6409" max="6409" width="1.875" style="89" customWidth="1"/>
    <col min="6410" max="6410" width="1.375" style="89" customWidth="1"/>
    <col min="6411" max="6411" width="1.125" style="89" customWidth="1"/>
    <col min="6412" max="6412" width="12.75" style="89" customWidth="1"/>
    <col min="6413" max="6413" width="18.375" style="89" customWidth="1"/>
    <col min="6414" max="6415" width="21" style="89" customWidth="1"/>
    <col min="6416" max="6417" width="13.375" style="89" customWidth="1"/>
    <col min="6418" max="6418" width="12.75" style="89" customWidth="1"/>
    <col min="6419" max="6419" width="9.125" style="89"/>
    <col min="6420" max="6420" width="9.375" style="89" bestFit="1" customWidth="1"/>
    <col min="6421" max="6656" width="9.125" style="89"/>
    <col min="6657" max="6657" width="29.25" style="89" bestFit="1" customWidth="1"/>
    <col min="6658" max="6658" width="3" style="89" customWidth="1"/>
    <col min="6659" max="6659" width="3.625" style="89" customWidth="1"/>
    <col min="6660" max="6662" width="12.75" style="89" customWidth="1"/>
    <col min="6663" max="6663" width="6.25" style="89" customWidth="1"/>
    <col min="6664" max="6664" width="49.375" style="89" customWidth="1"/>
    <col min="6665" max="6665" width="1.875" style="89" customWidth="1"/>
    <col min="6666" max="6666" width="1.375" style="89" customWidth="1"/>
    <col min="6667" max="6667" width="1.125" style="89" customWidth="1"/>
    <col min="6668" max="6668" width="12.75" style="89" customWidth="1"/>
    <col min="6669" max="6669" width="18.375" style="89" customWidth="1"/>
    <col min="6670" max="6671" width="21" style="89" customWidth="1"/>
    <col min="6672" max="6673" width="13.375" style="89" customWidth="1"/>
    <col min="6674" max="6674" width="12.75" style="89" customWidth="1"/>
    <col min="6675" max="6675" width="9.125" style="89"/>
    <col min="6676" max="6676" width="9.375" style="89" bestFit="1" customWidth="1"/>
    <col min="6677" max="6912" width="9.125" style="89"/>
    <col min="6913" max="6913" width="29.25" style="89" bestFit="1" customWidth="1"/>
    <col min="6914" max="6914" width="3" style="89" customWidth="1"/>
    <col min="6915" max="6915" width="3.625" style="89" customWidth="1"/>
    <col min="6916" max="6918" width="12.75" style="89" customWidth="1"/>
    <col min="6919" max="6919" width="6.25" style="89" customWidth="1"/>
    <col min="6920" max="6920" width="49.375" style="89" customWidth="1"/>
    <col min="6921" max="6921" width="1.875" style="89" customWidth="1"/>
    <col min="6922" max="6922" width="1.375" style="89" customWidth="1"/>
    <col min="6923" max="6923" width="1.125" style="89" customWidth="1"/>
    <col min="6924" max="6924" width="12.75" style="89" customWidth="1"/>
    <col min="6925" max="6925" width="18.375" style="89" customWidth="1"/>
    <col min="6926" max="6927" width="21" style="89" customWidth="1"/>
    <col min="6928" max="6929" width="13.375" style="89" customWidth="1"/>
    <col min="6930" max="6930" width="12.75" style="89" customWidth="1"/>
    <col min="6931" max="6931" width="9.125" style="89"/>
    <col min="6932" max="6932" width="9.375" style="89" bestFit="1" customWidth="1"/>
    <col min="6933" max="7168" width="9.125" style="89"/>
    <col min="7169" max="7169" width="29.25" style="89" bestFit="1" customWidth="1"/>
    <col min="7170" max="7170" width="3" style="89" customWidth="1"/>
    <col min="7171" max="7171" width="3.625" style="89" customWidth="1"/>
    <col min="7172" max="7174" width="12.75" style="89" customWidth="1"/>
    <col min="7175" max="7175" width="6.25" style="89" customWidth="1"/>
    <col min="7176" max="7176" width="49.375" style="89" customWidth="1"/>
    <col min="7177" max="7177" width="1.875" style="89" customWidth="1"/>
    <col min="7178" max="7178" width="1.375" style="89" customWidth="1"/>
    <col min="7179" max="7179" width="1.125" style="89" customWidth="1"/>
    <col min="7180" max="7180" width="12.75" style="89" customWidth="1"/>
    <col min="7181" max="7181" width="18.375" style="89" customWidth="1"/>
    <col min="7182" max="7183" width="21" style="89" customWidth="1"/>
    <col min="7184" max="7185" width="13.375" style="89" customWidth="1"/>
    <col min="7186" max="7186" width="12.75" style="89" customWidth="1"/>
    <col min="7187" max="7187" width="9.125" style="89"/>
    <col min="7188" max="7188" width="9.375" style="89" bestFit="1" customWidth="1"/>
    <col min="7189" max="7424" width="9.125" style="89"/>
    <col min="7425" max="7425" width="29.25" style="89" bestFit="1" customWidth="1"/>
    <col min="7426" max="7426" width="3" style="89" customWidth="1"/>
    <col min="7427" max="7427" width="3.625" style="89" customWidth="1"/>
    <col min="7428" max="7430" width="12.75" style="89" customWidth="1"/>
    <col min="7431" max="7431" width="6.25" style="89" customWidth="1"/>
    <col min="7432" max="7432" width="49.375" style="89" customWidth="1"/>
    <col min="7433" max="7433" width="1.875" style="89" customWidth="1"/>
    <col min="7434" max="7434" width="1.375" style="89" customWidth="1"/>
    <col min="7435" max="7435" width="1.125" style="89" customWidth="1"/>
    <col min="7436" max="7436" width="12.75" style="89" customWidth="1"/>
    <col min="7437" max="7437" width="18.375" style="89" customWidth="1"/>
    <col min="7438" max="7439" width="21" style="89" customWidth="1"/>
    <col min="7440" max="7441" width="13.375" style="89" customWidth="1"/>
    <col min="7442" max="7442" width="12.75" style="89" customWidth="1"/>
    <col min="7443" max="7443" width="9.125" style="89"/>
    <col min="7444" max="7444" width="9.375" style="89" bestFit="1" customWidth="1"/>
    <col min="7445" max="7680" width="9.125" style="89"/>
    <col min="7681" max="7681" width="29.25" style="89" bestFit="1" customWidth="1"/>
    <col min="7682" max="7682" width="3" style="89" customWidth="1"/>
    <col min="7683" max="7683" width="3.625" style="89" customWidth="1"/>
    <col min="7684" max="7686" width="12.75" style="89" customWidth="1"/>
    <col min="7687" max="7687" width="6.25" style="89" customWidth="1"/>
    <col min="7688" max="7688" width="49.375" style="89" customWidth="1"/>
    <col min="7689" max="7689" width="1.875" style="89" customWidth="1"/>
    <col min="7690" max="7690" width="1.375" style="89" customWidth="1"/>
    <col min="7691" max="7691" width="1.125" style="89" customWidth="1"/>
    <col min="7692" max="7692" width="12.75" style="89" customWidth="1"/>
    <col min="7693" max="7693" width="18.375" style="89" customWidth="1"/>
    <col min="7694" max="7695" width="21" style="89" customWidth="1"/>
    <col min="7696" max="7697" width="13.375" style="89" customWidth="1"/>
    <col min="7698" max="7698" width="12.75" style="89" customWidth="1"/>
    <col min="7699" max="7699" width="9.125" style="89"/>
    <col min="7700" max="7700" width="9.375" style="89" bestFit="1" customWidth="1"/>
    <col min="7701" max="7936" width="9.125" style="89"/>
    <col min="7937" max="7937" width="29.25" style="89" bestFit="1" customWidth="1"/>
    <col min="7938" max="7938" width="3" style="89" customWidth="1"/>
    <col min="7939" max="7939" width="3.625" style="89" customWidth="1"/>
    <col min="7940" max="7942" width="12.75" style="89" customWidth="1"/>
    <col min="7943" max="7943" width="6.25" style="89" customWidth="1"/>
    <col min="7944" max="7944" width="49.375" style="89" customWidth="1"/>
    <col min="7945" max="7945" width="1.875" style="89" customWidth="1"/>
    <col min="7946" max="7946" width="1.375" style="89" customWidth="1"/>
    <col min="7947" max="7947" width="1.125" style="89" customWidth="1"/>
    <col min="7948" max="7948" width="12.75" style="89" customWidth="1"/>
    <col min="7949" max="7949" width="18.375" style="89" customWidth="1"/>
    <col min="7950" max="7951" width="21" style="89" customWidth="1"/>
    <col min="7952" max="7953" width="13.375" style="89" customWidth="1"/>
    <col min="7954" max="7954" width="12.75" style="89" customWidth="1"/>
    <col min="7955" max="7955" width="9.125" style="89"/>
    <col min="7956" max="7956" width="9.375" style="89" bestFit="1" customWidth="1"/>
    <col min="7957" max="8192" width="9.125" style="89"/>
    <col min="8193" max="8193" width="29.25" style="89" bestFit="1" customWidth="1"/>
    <col min="8194" max="8194" width="3" style="89" customWidth="1"/>
    <col min="8195" max="8195" width="3.625" style="89" customWidth="1"/>
    <col min="8196" max="8198" width="12.75" style="89" customWidth="1"/>
    <col min="8199" max="8199" width="6.25" style="89" customWidth="1"/>
    <col min="8200" max="8200" width="49.375" style="89" customWidth="1"/>
    <col min="8201" max="8201" width="1.875" style="89" customWidth="1"/>
    <col min="8202" max="8202" width="1.375" style="89" customWidth="1"/>
    <col min="8203" max="8203" width="1.125" style="89" customWidth="1"/>
    <col min="8204" max="8204" width="12.75" style="89" customWidth="1"/>
    <col min="8205" max="8205" width="18.375" style="89" customWidth="1"/>
    <col min="8206" max="8207" width="21" style="89" customWidth="1"/>
    <col min="8208" max="8209" width="13.375" style="89" customWidth="1"/>
    <col min="8210" max="8210" width="12.75" style="89" customWidth="1"/>
    <col min="8211" max="8211" width="9.125" style="89"/>
    <col min="8212" max="8212" width="9.375" style="89" bestFit="1" customWidth="1"/>
    <col min="8213" max="8448" width="9.125" style="89"/>
    <col min="8449" max="8449" width="29.25" style="89" bestFit="1" customWidth="1"/>
    <col min="8450" max="8450" width="3" style="89" customWidth="1"/>
    <col min="8451" max="8451" width="3.625" style="89" customWidth="1"/>
    <col min="8452" max="8454" width="12.75" style="89" customWidth="1"/>
    <col min="8455" max="8455" width="6.25" style="89" customWidth="1"/>
    <col min="8456" max="8456" width="49.375" style="89" customWidth="1"/>
    <col min="8457" max="8457" width="1.875" style="89" customWidth="1"/>
    <col min="8458" max="8458" width="1.375" style="89" customWidth="1"/>
    <col min="8459" max="8459" width="1.125" style="89" customWidth="1"/>
    <col min="8460" max="8460" width="12.75" style="89" customWidth="1"/>
    <col min="8461" max="8461" width="18.375" style="89" customWidth="1"/>
    <col min="8462" max="8463" width="21" style="89" customWidth="1"/>
    <col min="8464" max="8465" width="13.375" style="89" customWidth="1"/>
    <col min="8466" max="8466" width="12.75" style="89" customWidth="1"/>
    <col min="8467" max="8467" width="9.125" style="89"/>
    <col min="8468" max="8468" width="9.375" style="89" bestFit="1" customWidth="1"/>
    <col min="8469" max="8704" width="9.125" style="89"/>
    <col min="8705" max="8705" width="29.25" style="89" bestFit="1" customWidth="1"/>
    <col min="8706" max="8706" width="3" style="89" customWidth="1"/>
    <col min="8707" max="8707" width="3.625" style="89" customWidth="1"/>
    <col min="8708" max="8710" width="12.75" style="89" customWidth="1"/>
    <col min="8711" max="8711" width="6.25" style="89" customWidth="1"/>
    <col min="8712" max="8712" width="49.375" style="89" customWidth="1"/>
    <col min="8713" max="8713" width="1.875" style="89" customWidth="1"/>
    <col min="8714" max="8714" width="1.375" style="89" customWidth="1"/>
    <col min="8715" max="8715" width="1.125" style="89" customWidth="1"/>
    <col min="8716" max="8716" width="12.75" style="89" customWidth="1"/>
    <col min="8717" max="8717" width="18.375" style="89" customWidth="1"/>
    <col min="8718" max="8719" width="21" style="89" customWidth="1"/>
    <col min="8720" max="8721" width="13.375" style="89" customWidth="1"/>
    <col min="8722" max="8722" width="12.75" style="89" customWidth="1"/>
    <col min="8723" max="8723" width="9.125" style="89"/>
    <col min="8724" max="8724" width="9.375" style="89" bestFit="1" customWidth="1"/>
    <col min="8725" max="8960" width="9.125" style="89"/>
    <col min="8961" max="8961" width="29.25" style="89" bestFit="1" customWidth="1"/>
    <col min="8962" max="8962" width="3" style="89" customWidth="1"/>
    <col min="8963" max="8963" width="3.625" style="89" customWidth="1"/>
    <col min="8964" max="8966" width="12.75" style="89" customWidth="1"/>
    <col min="8967" max="8967" width="6.25" style="89" customWidth="1"/>
    <col min="8968" max="8968" width="49.375" style="89" customWidth="1"/>
    <col min="8969" max="8969" width="1.875" style="89" customWidth="1"/>
    <col min="8970" max="8970" width="1.375" style="89" customWidth="1"/>
    <col min="8971" max="8971" width="1.125" style="89" customWidth="1"/>
    <col min="8972" max="8972" width="12.75" style="89" customWidth="1"/>
    <col min="8973" max="8973" width="18.375" style="89" customWidth="1"/>
    <col min="8974" max="8975" width="21" style="89" customWidth="1"/>
    <col min="8976" max="8977" width="13.375" style="89" customWidth="1"/>
    <col min="8978" max="8978" width="12.75" style="89" customWidth="1"/>
    <col min="8979" max="8979" width="9.125" style="89"/>
    <col min="8980" max="8980" width="9.375" style="89" bestFit="1" customWidth="1"/>
    <col min="8981" max="9216" width="9.125" style="89"/>
    <col min="9217" max="9217" width="29.25" style="89" bestFit="1" customWidth="1"/>
    <col min="9218" max="9218" width="3" style="89" customWidth="1"/>
    <col min="9219" max="9219" width="3.625" style="89" customWidth="1"/>
    <col min="9220" max="9222" width="12.75" style="89" customWidth="1"/>
    <col min="9223" max="9223" width="6.25" style="89" customWidth="1"/>
    <col min="9224" max="9224" width="49.375" style="89" customWidth="1"/>
    <col min="9225" max="9225" width="1.875" style="89" customWidth="1"/>
    <col min="9226" max="9226" width="1.375" style="89" customWidth="1"/>
    <col min="9227" max="9227" width="1.125" style="89" customWidth="1"/>
    <col min="9228" max="9228" width="12.75" style="89" customWidth="1"/>
    <col min="9229" max="9229" width="18.375" style="89" customWidth="1"/>
    <col min="9230" max="9231" width="21" style="89" customWidth="1"/>
    <col min="9232" max="9233" width="13.375" style="89" customWidth="1"/>
    <col min="9234" max="9234" width="12.75" style="89" customWidth="1"/>
    <col min="9235" max="9235" width="9.125" style="89"/>
    <col min="9236" max="9236" width="9.375" style="89" bestFit="1" customWidth="1"/>
    <col min="9237" max="9472" width="9.125" style="89"/>
    <col min="9473" max="9473" width="29.25" style="89" bestFit="1" customWidth="1"/>
    <col min="9474" max="9474" width="3" style="89" customWidth="1"/>
    <col min="9475" max="9475" width="3.625" style="89" customWidth="1"/>
    <col min="9476" max="9478" width="12.75" style="89" customWidth="1"/>
    <col min="9479" max="9479" width="6.25" style="89" customWidth="1"/>
    <col min="9480" max="9480" width="49.375" style="89" customWidth="1"/>
    <col min="9481" max="9481" width="1.875" style="89" customWidth="1"/>
    <col min="9482" max="9482" width="1.375" style="89" customWidth="1"/>
    <col min="9483" max="9483" width="1.125" style="89" customWidth="1"/>
    <col min="9484" max="9484" width="12.75" style="89" customWidth="1"/>
    <col min="9485" max="9485" width="18.375" style="89" customWidth="1"/>
    <col min="9486" max="9487" width="21" style="89" customWidth="1"/>
    <col min="9488" max="9489" width="13.375" style="89" customWidth="1"/>
    <col min="9490" max="9490" width="12.75" style="89" customWidth="1"/>
    <col min="9491" max="9491" width="9.125" style="89"/>
    <col min="9492" max="9492" width="9.375" style="89" bestFit="1" customWidth="1"/>
    <col min="9493" max="9728" width="9.125" style="89"/>
    <col min="9729" max="9729" width="29.25" style="89" bestFit="1" customWidth="1"/>
    <col min="9730" max="9730" width="3" style="89" customWidth="1"/>
    <col min="9731" max="9731" width="3.625" style="89" customWidth="1"/>
    <col min="9732" max="9734" width="12.75" style="89" customWidth="1"/>
    <col min="9735" max="9735" width="6.25" style="89" customWidth="1"/>
    <col min="9736" max="9736" width="49.375" style="89" customWidth="1"/>
    <col min="9737" max="9737" width="1.875" style="89" customWidth="1"/>
    <col min="9738" max="9738" width="1.375" style="89" customWidth="1"/>
    <col min="9739" max="9739" width="1.125" style="89" customWidth="1"/>
    <col min="9740" max="9740" width="12.75" style="89" customWidth="1"/>
    <col min="9741" max="9741" width="18.375" style="89" customWidth="1"/>
    <col min="9742" max="9743" width="21" style="89" customWidth="1"/>
    <col min="9744" max="9745" width="13.375" style="89" customWidth="1"/>
    <col min="9746" max="9746" width="12.75" style="89" customWidth="1"/>
    <col min="9747" max="9747" width="9.125" style="89"/>
    <col min="9748" max="9748" width="9.375" style="89" bestFit="1" customWidth="1"/>
    <col min="9749" max="9984" width="9.125" style="89"/>
    <col min="9985" max="9985" width="29.25" style="89" bestFit="1" customWidth="1"/>
    <col min="9986" max="9986" width="3" style="89" customWidth="1"/>
    <col min="9987" max="9987" width="3.625" style="89" customWidth="1"/>
    <col min="9988" max="9990" width="12.75" style="89" customWidth="1"/>
    <col min="9991" max="9991" width="6.25" style="89" customWidth="1"/>
    <col min="9992" max="9992" width="49.375" style="89" customWidth="1"/>
    <col min="9993" max="9993" width="1.875" style="89" customWidth="1"/>
    <col min="9994" max="9994" width="1.375" style="89" customWidth="1"/>
    <col min="9995" max="9995" width="1.125" style="89" customWidth="1"/>
    <col min="9996" max="9996" width="12.75" style="89" customWidth="1"/>
    <col min="9997" max="9997" width="18.375" style="89" customWidth="1"/>
    <col min="9998" max="9999" width="21" style="89" customWidth="1"/>
    <col min="10000" max="10001" width="13.375" style="89" customWidth="1"/>
    <col min="10002" max="10002" width="12.75" style="89" customWidth="1"/>
    <col min="10003" max="10003" width="9.125" style="89"/>
    <col min="10004" max="10004" width="9.375" style="89" bestFit="1" customWidth="1"/>
    <col min="10005" max="10240" width="9.125" style="89"/>
    <col min="10241" max="10241" width="29.25" style="89" bestFit="1" customWidth="1"/>
    <col min="10242" max="10242" width="3" style="89" customWidth="1"/>
    <col min="10243" max="10243" width="3.625" style="89" customWidth="1"/>
    <col min="10244" max="10246" width="12.75" style="89" customWidth="1"/>
    <col min="10247" max="10247" width="6.25" style="89" customWidth="1"/>
    <col min="10248" max="10248" width="49.375" style="89" customWidth="1"/>
    <col min="10249" max="10249" width="1.875" style="89" customWidth="1"/>
    <col min="10250" max="10250" width="1.375" style="89" customWidth="1"/>
    <col min="10251" max="10251" width="1.125" style="89" customWidth="1"/>
    <col min="10252" max="10252" width="12.75" style="89" customWidth="1"/>
    <col min="10253" max="10253" width="18.375" style="89" customWidth="1"/>
    <col min="10254" max="10255" width="21" style="89" customWidth="1"/>
    <col min="10256" max="10257" width="13.375" style="89" customWidth="1"/>
    <col min="10258" max="10258" width="12.75" style="89" customWidth="1"/>
    <col min="10259" max="10259" width="9.125" style="89"/>
    <col min="10260" max="10260" width="9.375" style="89" bestFit="1" customWidth="1"/>
    <col min="10261" max="10496" width="9.125" style="89"/>
    <col min="10497" max="10497" width="29.25" style="89" bestFit="1" customWidth="1"/>
    <col min="10498" max="10498" width="3" style="89" customWidth="1"/>
    <col min="10499" max="10499" width="3.625" style="89" customWidth="1"/>
    <col min="10500" max="10502" width="12.75" style="89" customWidth="1"/>
    <col min="10503" max="10503" width="6.25" style="89" customWidth="1"/>
    <col min="10504" max="10504" width="49.375" style="89" customWidth="1"/>
    <col min="10505" max="10505" width="1.875" style="89" customWidth="1"/>
    <col min="10506" max="10506" width="1.375" style="89" customWidth="1"/>
    <col min="10507" max="10507" width="1.125" style="89" customWidth="1"/>
    <col min="10508" max="10508" width="12.75" style="89" customWidth="1"/>
    <col min="10509" max="10509" width="18.375" style="89" customWidth="1"/>
    <col min="10510" max="10511" width="21" style="89" customWidth="1"/>
    <col min="10512" max="10513" width="13.375" style="89" customWidth="1"/>
    <col min="10514" max="10514" width="12.75" style="89" customWidth="1"/>
    <col min="10515" max="10515" width="9.125" style="89"/>
    <col min="10516" max="10516" width="9.375" style="89" bestFit="1" customWidth="1"/>
    <col min="10517" max="10752" width="9.125" style="89"/>
    <col min="10753" max="10753" width="29.25" style="89" bestFit="1" customWidth="1"/>
    <col min="10754" max="10754" width="3" style="89" customWidth="1"/>
    <col min="10755" max="10755" width="3.625" style="89" customWidth="1"/>
    <col min="10756" max="10758" width="12.75" style="89" customWidth="1"/>
    <col min="10759" max="10759" width="6.25" style="89" customWidth="1"/>
    <col min="10760" max="10760" width="49.375" style="89" customWidth="1"/>
    <col min="10761" max="10761" width="1.875" style="89" customWidth="1"/>
    <col min="10762" max="10762" width="1.375" style="89" customWidth="1"/>
    <col min="10763" max="10763" width="1.125" style="89" customWidth="1"/>
    <col min="10764" max="10764" width="12.75" style="89" customWidth="1"/>
    <col min="10765" max="10765" width="18.375" style="89" customWidth="1"/>
    <col min="10766" max="10767" width="21" style="89" customWidth="1"/>
    <col min="10768" max="10769" width="13.375" style="89" customWidth="1"/>
    <col min="10770" max="10770" width="12.75" style="89" customWidth="1"/>
    <col min="10771" max="10771" width="9.125" style="89"/>
    <col min="10772" max="10772" width="9.375" style="89" bestFit="1" customWidth="1"/>
    <col min="10773" max="11008" width="9.125" style="89"/>
    <col min="11009" max="11009" width="29.25" style="89" bestFit="1" customWidth="1"/>
    <col min="11010" max="11010" width="3" style="89" customWidth="1"/>
    <col min="11011" max="11011" width="3.625" style="89" customWidth="1"/>
    <col min="11012" max="11014" width="12.75" style="89" customWidth="1"/>
    <col min="11015" max="11015" width="6.25" style="89" customWidth="1"/>
    <col min="11016" max="11016" width="49.375" style="89" customWidth="1"/>
    <col min="11017" max="11017" width="1.875" style="89" customWidth="1"/>
    <col min="11018" max="11018" width="1.375" style="89" customWidth="1"/>
    <col min="11019" max="11019" width="1.125" style="89" customWidth="1"/>
    <col min="11020" max="11020" width="12.75" style="89" customWidth="1"/>
    <col min="11021" max="11021" width="18.375" style="89" customWidth="1"/>
    <col min="11022" max="11023" width="21" style="89" customWidth="1"/>
    <col min="11024" max="11025" width="13.375" style="89" customWidth="1"/>
    <col min="11026" max="11026" width="12.75" style="89" customWidth="1"/>
    <col min="11027" max="11027" width="9.125" style="89"/>
    <col min="11028" max="11028" width="9.375" style="89" bestFit="1" customWidth="1"/>
    <col min="11029" max="11264" width="9.125" style="89"/>
    <col min="11265" max="11265" width="29.25" style="89" bestFit="1" customWidth="1"/>
    <col min="11266" max="11266" width="3" style="89" customWidth="1"/>
    <col min="11267" max="11267" width="3.625" style="89" customWidth="1"/>
    <col min="11268" max="11270" width="12.75" style="89" customWidth="1"/>
    <col min="11271" max="11271" width="6.25" style="89" customWidth="1"/>
    <col min="11272" max="11272" width="49.375" style="89" customWidth="1"/>
    <col min="11273" max="11273" width="1.875" style="89" customWidth="1"/>
    <col min="11274" max="11274" width="1.375" style="89" customWidth="1"/>
    <col min="11275" max="11275" width="1.125" style="89" customWidth="1"/>
    <col min="11276" max="11276" width="12.75" style="89" customWidth="1"/>
    <col min="11277" max="11277" width="18.375" style="89" customWidth="1"/>
    <col min="11278" max="11279" width="21" style="89" customWidth="1"/>
    <col min="11280" max="11281" width="13.375" style="89" customWidth="1"/>
    <col min="11282" max="11282" width="12.75" style="89" customWidth="1"/>
    <col min="11283" max="11283" width="9.125" style="89"/>
    <col min="11284" max="11284" width="9.375" style="89" bestFit="1" customWidth="1"/>
    <col min="11285" max="11520" width="9.125" style="89"/>
    <col min="11521" max="11521" width="29.25" style="89" bestFit="1" customWidth="1"/>
    <col min="11522" max="11522" width="3" style="89" customWidth="1"/>
    <col min="11523" max="11523" width="3.625" style="89" customWidth="1"/>
    <col min="11524" max="11526" width="12.75" style="89" customWidth="1"/>
    <col min="11527" max="11527" width="6.25" style="89" customWidth="1"/>
    <col min="11528" max="11528" width="49.375" style="89" customWidth="1"/>
    <col min="11529" max="11529" width="1.875" style="89" customWidth="1"/>
    <col min="11530" max="11530" width="1.375" style="89" customWidth="1"/>
    <col min="11531" max="11531" width="1.125" style="89" customWidth="1"/>
    <col min="11532" max="11532" width="12.75" style="89" customWidth="1"/>
    <col min="11533" max="11533" width="18.375" style="89" customWidth="1"/>
    <col min="11534" max="11535" width="21" style="89" customWidth="1"/>
    <col min="11536" max="11537" width="13.375" style="89" customWidth="1"/>
    <col min="11538" max="11538" width="12.75" style="89" customWidth="1"/>
    <col min="11539" max="11539" width="9.125" style="89"/>
    <col min="11540" max="11540" width="9.375" style="89" bestFit="1" customWidth="1"/>
    <col min="11541" max="11776" width="9.125" style="89"/>
    <col min="11777" max="11777" width="29.25" style="89" bestFit="1" customWidth="1"/>
    <col min="11778" max="11778" width="3" style="89" customWidth="1"/>
    <col min="11779" max="11779" width="3.625" style="89" customWidth="1"/>
    <col min="11780" max="11782" width="12.75" style="89" customWidth="1"/>
    <col min="11783" max="11783" width="6.25" style="89" customWidth="1"/>
    <col min="11784" max="11784" width="49.375" style="89" customWidth="1"/>
    <col min="11785" max="11785" width="1.875" style="89" customWidth="1"/>
    <col min="11786" max="11786" width="1.375" style="89" customWidth="1"/>
    <col min="11787" max="11787" width="1.125" style="89" customWidth="1"/>
    <col min="11788" max="11788" width="12.75" style="89" customWidth="1"/>
    <col min="11789" max="11789" width="18.375" style="89" customWidth="1"/>
    <col min="11790" max="11791" width="21" style="89" customWidth="1"/>
    <col min="11792" max="11793" width="13.375" style="89" customWidth="1"/>
    <col min="11794" max="11794" width="12.75" style="89" customWidth="1"/>
    <col min="11795" max="11795" width="9.125" style="89"/>
    <col min="11796" max="11796" width="9.375" style="89" bestFit="1" customWidth="1"/>
    <col min="11797" max="12032" width="9.125" style="89"/>
    <col min="12033" max="12033" width="29.25" style="89" bestFit="1" customWidth="1"/>
    <col min="12034" max="12034" width="3" style="89" customWidth="1"/>
    <col min="12035" max="12035" width="3.625" style="89" customWidth="1"/>
    <col min="12036" max="12038" width="12.75" style="89" customWidth="1"/>
    <col min="12039" max="12039" width="6.25" style="89" customWidth="1"/>
    <col min="12040" max="12040" width="49.375" style="89" customWidth="1"/>
    <col min="12041" max="12041" width="1.875" style="89" customWidth="1"/>
    <col min="12042" max="12042" width="1.375" style="89" customWidth="1"/>
    <col min="12043" max="12043" width="1.125" style="89" customWidth="1"/>
    <col min="12044" max="12044" width="12.75" style="89" customWidth="1"/>
    <col min="12045" max="12045" width="18.375" style="89" customWidth="1"/>
    <col min="12046" max="12047" width="21" style="89" customWidth="1"/>
    <col min="12048" max="12049" width="13.375" style="89" customWidth="1"/>
    <col min="12050" max="12050" width="12.75" style="89" customWidth="1"/>
    <col min="12051" max="12051" width="9.125" style="89"/>
    <col min="12052" max="12052" width="9.375" style="89" bestFit="1" customWidth="1"/>
    <col min="12053" max="12288" width="9.125" style="89"/>
    <col min="12289" max="12289" width="29.25" style="89" bestFit="1" customWidth="1"/>
    <col min="12290" max="12290" width="3" style="89" customWidth="1"/>
    <col min="12291" max="12291" width="3.625" style="89" customWidth="1"/>
    <col min="12292" max="12294" width="12.75" style="89" customWidth="1"/>
    <col min="12295" max="12295" width="6.25" style="89" customWidth="1"/>
    <col min="12296" max="12296" width="49.375" style="89" customWidth="1"/>
    <col min="12297" max="12297" width="1.875" style="89" customWidth="1"/>
    <col min="12298" max="12298" width="1.375" style="89" customWidth="1"/>
    <col min="12299" max="12299" width="1.125" style="89" customWidth="1"/>
    <col min="12300" max="12300" width="12.75" style="89" customWidth="1"/>
    <col min="12301" max="12301" width="18.375" style="89" customWidth="1"/>
    <col min="12302" max="12303" width="21" style="89" customWidth="1"/>
    <col min="12304" max="12305" width="13.375" style="89" customWidth="1"/>
    <col min="12306" max="12306" width="12.75" style="89" customWidth="1"/>
    <col min="12307" max="12307" width="9.125" style="89"/>
    <col min="12308" max="12308" width="9.375" style="89" bestFit="1" customWidth="1"/>
    <col min="12309" max="12544" width="9.125" style="89"/>
    <col min="12545" max="12545" width="29.25" style="89" bestFit="1" customWidth="1"/>
    <col min="12546" max="12546" width="3" style="89" customWidth="1"/>
    <col min="12547" max="12547" width="3.625" style="89" customWidth="1"/>
    <col min="12548" max="12550" width="12.75" style="89" customWidth="1"/>
    <col min="12551" max="12551" width="6.25" style="89" customWidth="1"/>
    <col min="12552" max="12552" width="49.375" style="89" customWidth="1"/>
    <col min="12553" max="12553" width="1.875" style="89" customWidth="1"/>
    <col min="12554" max="12554" width="1.375" style="89" customWidth="1"/>
    <col min="12555" max="12555" width="1.125" style="89" customWidth="1"/>
    <col min="12556" max="12556" width="12.75" style="89" customWidth="1"/>
    <col min="12557" max="12557" width="18.375" style="89" customWidth="1"/>
    <col min="12558" max="12559" width="21" style="89" customWidth="1"/>
    <col min="12560" max="12561" width="13.375" style="89" customWidth="1"/>
    <col min="12562" max="12562" width="12.75" style="89" customWidth="1"/>
    <col min="12563" max="12563" width="9.125" style="89"/>
    <col min="12564" max="12564" width="9.375" style="89" bestFit="1" customWidth="1"/>
    <col min="12565" max="12800" width="9.125" style="89"/>
    <col min="12801" max="12801" width="29.25" style="89" bestFit="1" customWidth="1"/>
    <col min="12802" max="12802" width="3" style="89" customWidth="1"/>
    <col min="12803" max="12803" width="3.625" style="89" customWidth="1"/>
    <col min="12804" max="12806" width="12.75" style="89" customWidth="1"/>
    <col min="12807" max="12807" width="6.25" style="89" customWidth="1"/>
    <col min="12808" max="12808" width="49.375" style="89" customWidth="1"/>
    <col min="12809" max="12809" width="1.875" style="89" customWidth="1"/>
    <col min="12810" max="12810" width="1.375" style="89" customWidth="1"/>
    <col min="12811" max="12811" width="1.125" style="89" customWidth="1"/>
    <col min="12812" max="12812" width="12.75" style="89" customWidth="1"/>
    <col min="12813" max="12813" width="18.375" style="89" customWidth="1"/>
    <col min="12814" max="12815" width="21" style="89" customWidth="1"/>
    <col min="12816" max="12817" width="13.375" style="89" customWidth="1"/>
    <col min="12818" max="12818" width="12.75" style="89" customWidth="1"/>
    <col min="12819" max="12819" width="9.125" style="89"/>
    <col min="12820" max="12820" width="9.375" style="89" bestFit="1" customWidth="1"/>
    <col min="12821" max="13056" width="9.125" style="89"/>
    <col min="13057" max="13057" width="29.25" style="89" bestFit="1" customWidth="1"/>
    <col min="13058" max="13058" width="3" style="89" customWidth="1"/>
    <col min="13059" max="13059" width="3.625" style="89" customWidth="1"/>
    <col min="13060" max="13062" width="12.75" style="89" customWidth="1"/>
    <col min="13063" max="13063" width="6.25" style="89" customWidth="1"/>
    <col min="13064" max="13064" width="49.375" style="89" customWidth="1"/>
    <col min="13065" max="13065" width="1.875" style="89" customWidth="1"/>
    <col min="13066" max="13066" width="1.375" style="89" customWidth="1"/>
    <col min="13067" max="13067" width="1.125" style="89" customWidth="1"/>
    <col min="13068" max="13068" width="12.75" style="89" customWidth="1"/>
    <col min="13069" max="13069" width="18.375" style="89" customWidth="1"/>
    <col min="13070" max="13071" width="21" style="89" customWidth="1"/>
    <col min="13072" max="13073" width="13.375" style="89" customWidth="1"/>
    <col min="13074" max="13074" width="12.75" style="89" customWidth="1"/>
    <col min="13075" max="13075" width="9.125" style="89"/>
    <col min="13076" max="13076" width="9.375" style="89" bestFit="1" customWidth="1"/>
    <col min="13077" max="13312" width="9.125" style="89"/>
    <col min="13313" max="13313" width="29.25" style="89" bestFit="1" customWidth="1"/>
    <col min="13314" max="13314" width="3" style="89" customWidth="1"/>
    <col min="13315" max="13315" width="3.625" style="89" customWidth="1"/>
    <col min="13316" max="13318" width="12.75" style="89" customWidth="1"/>
    <col min="13319" max="13319" width="6.25" style="89" customWidth="1"/>
    <col min="13320" max="13320" width="49.375" style="89" customWidth="1"/>
    <col min="13321" max="13321" width="1.875" style="89" customWidth="1"/>
    <col min="13322" max="13322" width="1.375" style="89" customWidth="1"/>
    <col min="13323" max="13323" width="1.125" style="89" customWidth="1"/>
    <col min="13324" max="13324" width="12.75" style="89" customWidth="1"/>
    <col min="13325" max="13325" width="18.375" style="89" customWidth="1"/>
    <col min="13326" max="13327" width="21" style="89" customWidth="1"/>
    <col min="13328" max="13329" width="13.375" style="89" customWidth="1"/>
    <col min="13330" max="13330" width="12.75" style="89" customWidth="1"/>
    <col min="13331" max="13331" width="9.125" style="89"/>
    <col min="13332" max="13332" width="9.375" style="89" bestFit="1" customWidth="1"/>
    <col min="13333" max="13568" width="9.125" style="89"/>
    <col min="13569" max="13569" width="29.25" style="89" bestFit="1" customWidth="1"/>
    <col min="13570" max="13570" width="3" style="89" customWidth="1"/>
    <col min="13571" max="13571" width="3.625" style="89" customWidth="1"/>
    <col min="13572" max="13574" width="12.75" style="89" customWidth="1"/>
    <col min="13575" max="13575" width="6.25" style="89" customWidth="1"/>
    <col min="13576" max="13576" width="49.375" style="89" customWidth="1"/>
    <col min="13577" max="13577" width="1.875" style="89" customWidth="1"/>
    <col min="13578" max="13578" width="1.375" style="89" customWidth="1"/>
    <col min="13579" max="13579" width="1.125" style="89" customWidth="1"/>
    <col min="13580" max="13580" width="12.75" style="89" customWidth="1"/>
    <col min="13581" max="13581" width="18.375" style="89" customWidth="1"/>
    <col min="13582" max="13583" width="21" style="89" customWidth="1"/>
    <col min="13584" max="13585" width="13.375" style="89" customWidth="1"/>
    <col min="13586" max="13586" width="12.75" style="89" customWidth="1"/>
    <col min="13587" max="13587" width="9.125" style="89"/>
    <col min="13588" max="13588" width="9.375" style="89" bestFit="1" customWidth="1"/>
    <col min="13589" max="13824" width="9.125" style="89"/>
    <col min="13825" max="13825" width="29.25" style="89" bestFit="1" customWidth="1"/>
    <col min="13826" max="13826" width="3" style="89" customWidth="1"/>
    <col min="13827" max="13827" width="3.625" style="89" customWidth="1"/>
    <col min="13828" max="13830" width="12.75" style="89" customWidth="1"/>
    <col min="13831" max="13831" width="6.25" style="89" customWidth="1"/>
    <col min="13832" max="13832" width="49.375" style="89" customWidth="1"/>
    <col min="13833" max="13833" width="1.875" style="89" customWidth="1"/>
    <col min="13834" max="13834" width="1.375" style="89" customWidth="1"/>
    <col min="13835" max="13835" width="1.125" style="89" customWidth="1"/>
    <col min="13836" max="13836" width="12.75" style="89" customWidth="1"/>
    <col min="13837" max="13837" width="18.375" style="89" customWidth="1"/>
    <col min="13838" max="13839" width="21" style="89" customWidth="1"/>
    <col min="13840" max="13841" width="13.375" style="89" customWidth="1"/>
    <col min="13842" max="13842" width="12.75" style="89" customWidth="1"/>
    <col min="13843" max="13843" width="9.125" style="89"/>
    <col min="13844" max="13844" width="9.375" style="89" bestFit="1" customWidth="1"/>
    <col min="13845" max="14080" width="9.125" style="89"/>
    <col min="14081" max="14081" width="29.25" style="89" bestFit="1" customWidth="1"/>
    <col min="14082" max="14082" width="3" style="89" customWidth="1"/>
    <col min="14083" max="14083" width="3.625" style="89" customWidth="1"/>
    <col min="14084" max="14086" width="12.75" style="89" customWidth="1"/>
    <col min="14087" max="14087" width="6.25" style="89" customWidth="1"/>
    <col min="14088" max="14088" width="49.375" style="89" customWidth="1"/>
    <col min="14089" max="14089" width="1.875" style="89" customWidth="1"/>
    <col min="14090" max="14090" width="1.375" style="89" customWidth="1"/>
    <col min="14091" max="14091" width="1.125" style="89" customWidth="1"/>
    <col min="14092" max="14092" width="12.75" style="89" customWidth="1"/>
    <col min="14093" max="14093" width="18.375" style="89" customWidth="1"/>
    <col min="14094" max="14095" width="21" style="89" customWidth="1"/>
    <col min="14096" max="14097" width="13.375" style="89" customWidth="1"/>
    <col min="14098" max="14098" width="12.75" style="89" customWidth="1"/>
    <col min="14099" max="14099" width="9.125" style="89"/>
    <col min="14100" max="14100" width="9.375" style="89" bestFit="1" customWidth="1"/>
    <col min="14101" max="14336" width="9.125" style="89"/>
    <col min="14337" max="14337" width="29.25" style="89" bestFit="1" customWidth="1"/>
    <col min="14338" max="14338" width="3" style="89" customWidth="1"/>
    <col min="14339" max="14339" width="3.625" style="89" customWidth="1"/>
    <col min="14340" max="14342" width="12.75" style="89" customWidth="1"/>
    <col min="14343" max="14343" width="6.25" style="89" customWidth="1"/>
    <col min="14344" max="14344" width="49.375" style="89" customWidth="1"/>
    <col min="14345" max="14345" width="1.875" style="89" customWidth="1"/>
    <col min="14346" max="14346" width="1.375" style="89" customWidth="1"/>
    <col min="14347" max="14347" width="1.125" style="89" customWidth="1"/>
    <col min="14348" max="14348" width="12.75" style="89" customWidth="1"/>
    <col min="14349" max="14349" width="18.375" style="89" customWidth="1"/>
    <col min="14350" max="14351" width="21" style="89" customWidth="1"/>
    <col min="14352" max="14353" width="13.375" style="89" customWidth="1"/>
    <col min="14354" max="14354" width="12.75" style="89" customWidth="1"/>
    <col min="14355" max="14355" width="9.125" style="89"/>
    <col min="14356" max="14356" width="9.375" style="89" bestFit="1" customWidth="1"/>
    <col min="14357" max="14592" width="9.125" style="89"/>
    <col min="14593" max="14593" width="29.25" style="89" bestFit="1" customWidth="1"/>
    <col min="14594" max="14594" width="3" style="89" customWidth="1"/>
    <col min="14595" max="14595" width="3.625" style="89" customWidth="1"/>
    <col min="14596" max="14598" width="12.75" style="89" customWidth="1"/>
    <col min="14599" max="14599" width="6.25" style="89" customWidth="1"/>
    <col min="14600" max="14600" width="49.375" style="89" customWidth="1"/>
    <col min="14601" max="14601" width="1.875" style="89" customWidth="1"/>
    <col min="14602" max="14602" width="1.375" style="89" customWidth="1"/>
    <col min="14603" max="14603" width="1.125" style="89" customWidth="1"/>
    <col min="14604" max="14604" width="12.75" style="89" customWidth="1"/>
    <col min="14605" max="14605" width="18.375" style="89" customWidth="1"/>
    <col min="14606" max="14607" width="21" style="89" customWidth="1"/>
    <col min="14608" max="14609" width="13.375" style="89" customWidth="1"/>
    <col min="14610" max="14610" width="12.75" style="89" customWidth="1"/>
    <col min="14611" max="14611" width="9.125" style="89"/>
    <col min="14612" max="14612" width="9.375" style="89" bestFit="1" customWidth="1"/>
    <col min="14613" max="14848" width="9.125" style="89"/>
    <col min="14849" max="14849" width="29.25" style="89" bestFit="1" customWidth="1"/>
    <col min="14850" max="14850" width="3" style="89" customWidth="1"/>
    <col min="14851" max="14851" width="3.625" style="89" customWidth="1"/>
    <col min="14852" max="14854" width="12.75" style="89" customWidth="1"/>
    <col min="14855" max="14855" width="6.25" style="89" customWidth="1"/>
    <col min="14856" max="14856" width="49.375" style="89" customWidth="1"/>
    <col min="14857" max="14857" width="1.875" style="89" customWidth="1"/>
    <col min="14858" max="14858" width="1.375" style="89" customWidth="1"/>
    <col min="14859" max="14859" width="1.125" style="89" customWidth="1"/>
    <col min="14860" max="14860" width="12.75" style="89" customWidth="1"/>
    <col min="14861" max="14861" width="18.375" style="89" customWidth="1"/>
    <col min="14862" max="14863" width="21" style="89" customWidth="1"/>
    <col min="14864" max="14865" width="13.375" style="89" customWidth="1"/>
    <col min="14866" max="14866" width="12.75" style="89" customWidth="1"/>
    <col min="14867" max="14867" width="9.125" style="89"/>
    <col min="14868" max="14868" width="9.375" style="89" bestFit="1" customWidth="1"/>
    <col min="14869" max="15104" width="9.125" style="89"/>
    <col min="15105" max="15105" width="29.25" style="89" bestFit="1" customWidth="1"/>
    <col min="15106" max="15106" width="3" style="89" customWidth="1"/>
    <col min="15107" max="15107" width="3.625" style="89" customWidth="1"/>
    <col min="15108" max="15110" width="12.75" style="89" customWidth="1"/>
    <col min="15111" max="15111" width="6.25" style="89" customWidth="1"/>
    <col min="15112" max="15112" width="49.375" style="89" customWidth="1"/>
    <col min="15113" max="15113" width="1.875" style="89" customWidth="1"/>
    <col min="15114" max="15114" width="1.375" style="89" customWidth="1"/>
    <col min="15115" max="15115" width="1.125" style="89" customWidth="1"/>
    <col min="15116" max="15116" width="12.75" style="89" customWidth="1"/>
    <col min="15117" max="15117" width="18.375" style="89" customWidth="1"/>
    <col min="15118" max="15119" width="21" style="89" customWidth="1"/>
    <col min="15120" max="15121" width="13.375" style="89" customWidth="1"/>
    <col min="15122" max="15122" width="12.75" style="89" customWidth="1"/>
    <col min="15123" max="15123" width="9.125" style="89"/>
    <col min="15124" max="15124" width="9.375" style="89" bestFit="1" customWidth="1"/>
    <col min="15125" max="15360" width="9.125" style="89"/>
    <col min="15361" max="15361" width="29.25" style="89" bestFit="1" customWidth="1"/>
    <col min="15362" max="15362" width="3" style="89" customWidth="1"/>
    <col min="15363" max="15363" width="3.625" style="89" customWidth="1"/>
    <col min="15364" max="15366" width="12.75" style="89" customWidth="1"/>
    <col min="15367" max="15367" width="6.25" style="89" customWidth="1"/>
    <col min="15368" max="15368" width="49.375" style="89" customWidth="1"/>
    <col min="15369" max="15369" width="1.875" style="89" customWidth="1"/>
    <col min="15370" max="15370" width="1.375" style="89" customWidth="1"/>
    <col min="15371" max="15371" width="1.125" style="89" customWidth="1"/>
    <col min="15372" max="15372" width="12.75" style="89" customWidth="1"/>
    <col min="15373" max="15373" width="18.375" style="89" customWidth="1"/>
    <col min="15374" max="15375" width="21" style="89" customWidth="1"/>
    <col min="15376" max="15377" width="13.375" style="89" customWidth="1"/>
    <col min="15378" max="15378" width="12.75" style="89" customWidth="1"/>
    <col min="15379" max="15379" width="9.125" style="89"/>
    <col min="15380" max="15380" width="9.375" style="89" bestFit="1" customWidth="1"/>
    <col min="15381" max="15616" width="9.125" style="89"/>
    <col min="15617" max="15617" width="29.25" style="89" bestFit="1" customWidth="1"/>
    <col min="15618" max="15618" width="3" style="89" customWidth="1"/>
    <col min="15619" max="15619" width="3.625" style="89" customWidth="1"/>
    <col min="15620" max="15622" width="12.75" style="89" customWidth="1"/>
    <col min="15623" max="15623" width="6.25" style="89" customWidth="1"/>
    <col min="15624" max="15624" width="49.375" style="89" customWidth="1"/>
    <col min="15625" max="15625" width="1.875" style="89" customWidth="1"/>
    <col min="15626" max="15626" width="1.375" style="89" customWidth="1"/>
    <col min="15627" max="15627" width="1.125" style="89" customWidth="1"/>
    <col min="15628" max="15628" width="12.75" style="89" customWidth="1"/>
    <col min="15629" max="15629" width="18.375" style="89" customWidth="1"/>
    <col min="15630" max="15631" width="21" style="89" customWidth="1"/>
    <col min="15632" max="15633" width="13.375" style="89" customWidth="1"/>
    <col min="15634" max="15634" width="12.75" style="89" customWidth="1"/>
    <col min="15635" max="15635" width="9.125" style="89"/>
    <col min="15636" max="15636" width="9.375" style="89" bestFit="1" customWidth="1"/>
    <col min="15637" max="15872" width="9.125" style="89"/>
    <col min="15873" max="15873" width="29.25" style="89" bestFit="1" customWidth="1"/>
    <col min="15874" max="15874" width="3" style="89" customWidth="1"/>
    <col min="15875" max="15875" width="3.625" style="89" customWidth="1"/>
    <col min="15876" max="15878" width="12.75" style="89" customWidth="1"/>
    <col min="15879" max="15879" width="6.25" style="89" customWidth="1"/>
    <col min="15880" max="15880" width="49.375" style="89" customWidth="1"/>
    <col min="15881" max="15881" width="1.875" style="89" customWidth="1"/>
    <col min="15882" max="15882" width="1.375" style="89" customWidth="1"/>
    <col min="15883" max="15883" width="1.125" style="89" customWidth="1"/>
    <col min="15884" max="15884" width="12.75" style="89" customWidth="1"/>
    <col min="15885" max="15885" width="18.375" style="89" customWidth="1"/>
    <col min="15886" max="15887" width="21" style="89" customWidth="1"/>
    <col min="15888" max="15889" width="13.375" style="89" customWidth="1"/>
    <col min="15890" max="15890" width="12.75" style="89" customWidth="1"/>
    <col min="15891" max="15891" width="9.125" style="89"/>
    <col min="15892" max="15892" width="9.375" style="89" bestFit="1" customWidth="1"/>
    <col min="15893" max="16128" width="9.125" style="89"/>
    <col min="16129" max="16129" width="29.25" style="89" bestFit="1" customWidth="1"/>
    <col min="16130" max="16130" width="3" style="89" customWidth="1"/>
    <col min="16131" max="16131" width="3.625" style="89" customWidth="1"/>
    <col min="16132" max="16134" width="12.75" style="89" customWidth="1"/>
    <col min="16135" max="16135" width="6.25" style="89" customWidth="1"/>
    <col min="16136" max="16136" width="49.375" style="89" customWidth="1"/>
    <col min="16137" max="16137" width="1.875" style="89" customWidth="1"/>
    <col min="16138" max="16138" width="1.375" style="89" customWidth="1"/>
    <col min="16139" max="16139" width="1.125" style="89" customWidth="1"/>
    <col min="16140" max="16140" width="12.75" style="89" customWidth="1"/>
    <col min="16141" max="16141" width="18.375" style="89" customWidth="1"/>
    <col min="16142" max="16143" width="21" style="89" customWidth="1"/>
    <col min="16144" max="16145" width="13.375" style="89" customWidth="1"/>
    <col min="16146" max="16146" width="12.75" style="89" customWidth="1"/>
    <col min="16147" max="16147" width="9.125" style="89"/>
    <col min="16148" max="16148" width="9.375" style="89" bestFit="1" customWidth="1"/>
    <col min="16149" max="16384" width="9.125" style="89"/>
  </cols>
  <sheetData>
    <row r="2" spans="2:29" ht="15" x14ac:dyDescent="0.3">
      <c r="B2" s="89" t="s">
        <v>930</v>
      </c>
      <c r="W2" s="89"/>
      <c r="X2" s="89"/>
      <c r="Y2" s="89"/>
      <c r="Z2" s="89"/>
      <c r="AA2" s="89"/>
      <c r="AB2" s="89"/>
      <c r="AC2" s="89"/>
    </row>
    <row r="3" spans="2:29" ht="15" x14ac:dyDescent="0.3">
      <c r="B3" s="92" t="s">
        <v>1314</v>
      </c>
      <c r="W3" s="89"/>
      <c r="X3" s="89"/>
      <c r="Y3" s="89"/>
      <c r="Z3" s="89"/>
      <c r="AA3" s="89"/>
      <c r="AB3" s="89"/>
      <c r="AC3" s="89"/>
    </row>
    <row r="4" spans="2:29" ht="15" x14ac:dyDescent="0.3">
      <c r="B4" s="89" t="s">
        <v>931</v>
      </c>
      <c r="R4" s="93"/>
      <c r="W4" s="89"/>
      <c r="X4" s="89"/>
      <c r="Y4" s="89"/>
      <c r="Z4" s="89"/>
      <c r="AA4" s="89"/>
      <c r="AB4" s="89"/>
      <c r="AC4" s="89"/>
    </row>
    <row r="5" spans="2:29" ht="15" x14ac:dyDescent="0.3">
      <c r="N5" s="93"/>
      <c r="O5" s="93"/>
      <c r="P5" s="93"/>
      <c r="Q5" s="94"/>
      <c r="R5" s="95"/>
      <c r="W5" s="89"/>
      <c r="X5" s="89"/>
      <c r="Y5" s="89"/>
      <c r="Z5" s="89"/>
      <c r="AA5" s="89"/>
      <c r="AB5" s="89"/>
      <c r="AC5" s="89"/>
    </row>
    <row r="6" spans="2:29" thickBot="1" x14ac:dyDescent="0.35">
      <c r="B6" s="96"/>
      <c r="C6" s="96"/>
      <c r="D6" s="97"/>
      <c r="E6" s="98">
        <v>42369</v>
      </c>
      <c r="F6" s="98">
        <v>42004</v>
      </c>
      <c r="G6" s="99" t="s">
        <v>932</v>
      </c>
      <c r="I6" s="93"/>
      <c r="J6" s="93"/>
      <c r="K6" s="93"/>
      <c r="L6" s="93"/>
      <c r="M6" s="100" t="s">
        <v>933</v>
      </c>
      <c r="N6" s="100" t="s">
        <v>934</v>
      </c>
      <c r="O6" s="100" t="s">
        <v>935</v>
      </c>
      <c r="P6" s="100" t="s">
        <v>936</v>
      </c>
      <c r="Q6" s="101" t="s">
        <v>937</v>
      </c>
      <c r="R6" s="102" t="s">
        <v>938</v>
      </c>
      <c r="W6" s="89"/>
      <c r="X6" s="89"/>
      <c r="Y6" s="89"/>
      <c r="Z6" s="89"/>
      <c r="AA6" s="89"/>
      <c r="AB6" s="89"/>
      <c r="AC6" s="89"/>
    </row>
    <row r="7" spans="2:29" ht="15" x14ac:dyDescent="0.3">
      <c r="B7" s="103"/>
      <c r="C7" s="103"/>
      <c r="D7" s="104"/>
      <c r="E7" s="103"/>
      <c r="F7" s="103"/>
      <c r="G7" s="105"/>
      <c r="I7" s="106" t="s">
        <v>939</v>
      </c>
      <c r="J7" s="107"/>
      <c r="K7" s="107"/>
      <c r="L7" s="107"/>
      <c r="M7" s="108"/>
      <c r="N7" s="108"/>
      <c r="O7" s="108"/>
      <c r="P7" s="108"/>
      <c r="Q7" s="108"/>
      <c r="R7" s="109"/>
      <c r="T7" s="110"/>
      <c r="W7" s="89"/>
      <c r="X7" s="89"/>
      <c r="Y7" s="89"/>
      <c r="Z7" s="89"/>
      <c r="AA7" s="89"/>
      <c r="AB7" s="89"/>
      <c r="AC7" s="89"/>
    </row>
    <row r="8" spans="2:29" ht="15" x14ac:dyDescent="0.3">
      <c r="B8" s="103" t="s">
        <v>373</v>
      </c>
      <c r="C8" s="103"/>
      <c r="D8" s="104"/>
      <c r="E8" s="111">
        <f>'situazione patrimoniale finanzi'!D21</f>
        <v>291779.1999999999</v>
      </c>
      <c r="F8" s="111">
        <f ca="1">'situazione patrimoniale finanzi'!E21</f>
        <v>1269251.43</v>
      </c>
      <c r="G8" s="111">
        <f t="shared" ref="G8" ca="1" si="0">+F8-E8</f>
        <v>977472.23</v>
      </c>
      <c r="I8" s="112"/>
      <c r="J8" s="113"/>
      <c r="K8" s="113"/>
      <c r="L8" s="113"/>
      <c r="M8" s="114"/>
      <c r="N8" s="114"/>
      <c r="O8" s="114"/>
      <c r="P8" s="114"/>
      <c r="Q8" s="114"/>
      <c r="R8" s="115"/>
      <c r="W8" s="89"/>
      <c r="X8" s="89"/>
      <c r="Y8" s="89"/>
      <c r="Z8" s="89"/>
      <c r="AA8" s="89"/>
      <c r="AB8" s="89"/>
      <c r="AC8" s="89"/>
    </row>
    <row r="9" spans="2:29" ht="15" x14ac:dyDescent="0.3">
      <c r="B9" s="103"/>
      <c r="C9" s="103"/>
      <c r="D9" s="104"/>
      <c r="E9" s="116"/>
      <c r="F9" s="116"/>
      <c r="G9" s="111"/>
      <c r="I9" s="117" t="s">
        <v>940</v>
      </c>
      <c r="J9" s="118"/>
      <c r="K9" s="118"/>
      <c r="L9" s="118"/>
      <c r="M9" s="118"/>
      <c r="N9" s="118"/>
      <c r="O9" s="118"/>
      <c r="P9" s="118"/>
      <c r="Q9" s="118"/>
      <c r="R9" s="119"/>
      <c r="W9" s="89"/>
      <c r="X9" s="89"/>
      <c r="Y9" s="89"/>
      <c r="Z9" s="89"/>
      <c r="AA9" s="89"/>
      <c r="AB9" s="89"/>
      <c r="AC9" s="89"/>
    </row>
    <row r="10" spans="2:29" ht="15" x14ac:dyDescent="0.3">
      <c r="B10" s="120" t="s">
        <v>941</v>
      </c>
      <c r="C10" s="103"/>
      <c r="D10" s="104"/>
      <c r="E10" s="121">
        <f>SUM(E8:E9)</f>
        <v>291779.1999999999</v>
      </c>
      <c r="F10" s="121">
        <f ca="1">SUM(F8:F9)</f>
        <v>1269251.43</v>
      </c>
      <c r="G10" s="121">
        <f ca="1">+F10-E10</f>
        <v>977472.23</v>
      </c>
      <c r="I10" s="122" t="s">
        <v>942</v>
      </c>
      <c r="J10" s="123"/>
      <c r="K10" s="123"/>
      <c r="L10" s="123"/>
      <c r="M10" s="123">
        <f>E46</f>
        <v>150098.33363902569</v>
      </c>
      <c r="N10" s="123"/>
      <c r="O10" s="123"/>
      <c r="P10" s="123"/>
      <c r="Q10" s="123"/>
      <c r="R10" s="119">
        <f t="shared" ref="R10:R15" si="1">SUM(M10:Q10)</f>
        <v>150098.33363902569</v>
      </c>
      <c r="W10" s="89"/>
      <c r="X10" s="89"/>
      <c r="Y10" s="89"/>
      <c r="Z10" s="89"/>
      <c r="AA10" s="89"/>
      <c r="AB10" s="89"/>
      <c r="AC10" s="89"/>
    </row>
    <row r="11" spans="2:29" ht="15" x14ac:dyDescent="0.3">
      <c r="B11" s="103"/>
      <c r="C11" s="103"/>
      <c r="D11" s="104"/>
      <c r="E11" s="111"/>
      <c r="F11" s="111"/>
      <c r="G11" s="111"/>
      <c r="I11" s="122" t="s">
        <v>943</v>
      </c>
      <c r="J11" s="123"/>
      <c r="K11" s="123"/>
      <c r="L11" s="123"/>
      <c r="M11" s="123"/>
      <c r="N11" s="123"/>
      <c r="O11" s="123"/>
      <c r="P11" s="123"/>
      <c r="Q11" s="123"/>
      <c r="R11" s="119">
        <f t="shared" si="1"/>
        <v>0</v>
      </c>
      <c r="W11" s="89"/>
      <c r="X11" s="89"/>
      <c r="Y11" s="89"/>
      <c r="Z11" s="89"/>
      <c r="AA11" s="89"/>
      <c r="AB11" s="89"/>
      <c r="AC11" s="89"/>
    </row>
    <row r="12" spans="2:29" ht="15" x14ac:dyDescent="0.3">
      <c r="B12" s="103" t="s">
        <v>59</v>
      </c>
      <c r="C12" s="103"/>
      <c r="D12" s="104"/>
      <c r="E12" s="111">
        <f>'situazione patrimoniale finanzi'!D18</f>
        <v>9511336.8800000008</v>
      </c>
      <c r="F12" s="111">
        <f ca="1">'situazione patrimoniale finanzi'!E18</f>
        <v>8833620.6700000018</v>
      </c>
      <c r="G12" s="111">
        <f t="shared" ref="G12:G23" ca="1" si="2">+F12-E12</f>
        <v>-677716.20999999903</v>
      </c>
      <c r="I12" s="122" t="s">
        <v>944</v>
      </c>
      <c r="J12" s="123"/>
      <c r="K12" s="123"/>
      <c r="L12" s="123"/>
      <c r="M12" s="123">
        <f>+DATA!O519+DATA!O520+DATA!O521+DATA!O522+DATA!O526+DATA!O527</f>
        <v>907596.40772488376</v>
      </c>
      <c r="N12" s="123"/>
      <c r="O12" s="123"/>
      <c r="P12" s="123"/>
      <c r="Q12" s="123"/>
      <c r="R12" s="119">
        <f t="shared" si="1"/>
        <v>907596.40772488376</v>
      </c>
      <c r="W12" s="89"/>
      <c r="X12" s="89"/>
      <c r="Y12" s="89"/>
      <c r="Z12" s="89"/>
      <c r="AA12" s="89"/>
      <c r="AB12" s="89"/>
      <c r="AC12" s="89"/>
    </row>
    <row r="13" spans="2:29" ht="15" x14ac:dyDescent="0.3">
      <c r="B13" s="103" t="s">
        <v>299</v>
      </c>
      <c r="C13" s="103"/>
      <c r="D13" s="104"/>
      <c r="E13" s="111">
        <f>'situazione patrimoniale finanzi'!D17</f>
        <v>7948551</v>
      </c>
      <c r="F13" s="111">
        <f ca="1">'situazione patrimoniale finanzi'!E17</f>
        <v>7168971</v>
      </c>
      <c r="G13" s="111">
        <f t="shared" ca="1" si="2"/>
        <v>-779580</v>
      </c>
      <c r="I13" s="122" t="s">
        <v>1315</v>
      </c>
      <c r="J13" s="123"/>
      <c r="K13" s="123"/>
      <c r="L13" s="123"/>
      <c r="M13" s="123">
        <f>+DATA!O523+DATA!O525</f>
        <v>7128.9700000000012</v>
      </c>
      <c r="N13" s="123"/>
      <c r="O13" s="123"/>
      <c r="P13" s="123"/>
      <c r="Q13" s="123"/>
      <c r="R13" s="119">
        <f t="shared" si="1"/>
        <v>7128.9700000000012</v>
      </c>
      <c r="W13" s="89"/>
      <c r="X13" s="89"/>
      <c r="Y13" s="89"/>
      <c r="Z13" s="89"/>
      <c r="AA13" s="89"/>
      <c r="AB13" s="89"/>
      <c r="AC13" s="89"/>
    </row>
    <row r="14" spans="2:29" ht="15" x14ac:dyDescent="0.3">
      <c r="B14" s="103" t="s">
        <v>924</v>
      </c>
      <c r="C14" s="103"/>
      <c r="D14" s="104"/>
      <c r="E14" s="111">
        <f>'situazione patrimoniale finanzi'!D20+'situazione patrimoniale finanzi'!D19-E20</f>
        <v>1572443.6999999997</v>
      </c>
      <c r="F14" s="111">
        <f ca="1">'situazione patrimoniale finanzi'!E20+'situazione patrimoniale finanzi'!E19-F20</f>
        <v>1843013.9699999993</v>
      </c>
      <c r="G14" s="111">
        <f t="shared" ca="1" si="2"/>
        <v>270570.26999999955</v>
      </c>
      <c r="I14" s="122" t="s">
        <v>1374</v>
      </c>
      <c r="J14" s="123"/>
      <c r="K14" s="123"/>
      <c r="L14" s="123"/>
      <c r="M14" s="123">
        <v>-1976</v>
      </c>
      <c r="N14" s="123"/>
      <c r="O14" s="123"/>
      <c r="P14" s="123"/>
      <c r="Q14" s="123"/>
      <c r="R14" s="119">
        <f t="shared" si="1"/>
        <v>-1976</v>
      </c>
      <c r="W14" s="89"/>
      <c r="X14" s="89"/>
      <c r="Y14" s="89"/>
      <c r="Z14" s="89"/>
      <c r="AA14" s="89"/>
      <c r="AB14" s="89"/>
      <c r="AC14" s="89"/>
    </row>
    <row r="15" spans="2:29" ht="15" x14ac:dyDescent="0.3">
      <c r="B15" s="103"/>
      <c r="C15" s="103"/>
      <c r="D15" s="104"/>
      <c r="E15" s="111"/>
      <c r="F15" s="111"/>
      <c r="G15" s="111"/>
      <c r="I15" s="122" t="s">
        <v>1378</v>
      </c>
      <c r="J15" s="123"/>
      <c r="K15" s="123"/>
      <c r="L15" s="123"/>
      <c r="M15" s="123"/>
      <c r="N15" s="123"/>
      <c r="O15" s="123"/>
      <c r="P15" s="123"/>
      <c r="Q15" s="123"/>
      <c r="R15" s="119">
        <f t="shared" si="1"/>
        <v>0</v>
      </c>
      <c r="W15" s="89"/>
      <c r="X15" s="89"/>
      <c r="Y15" s="89"/>
      <c r="Z15" s="89"/>
      <c r="AA15" s="89"/>
      <c r="AB15" s="89"/>
      <c r="AC15" s="89"/>
    </row>
    <row r="16" spans="2:29" ht="15" x14ac:dyDescent="0.3">
      <c r="B16" s="103" t="s">
        <v>946</v>
      </c>
      <c r="C16" s="103"/>
      <c r="D16" s="104"/>
      <c r="E16" s="111">
        <f>'situazione patrimoniale finanzi'!D11+'situazione patrimoniale finanzi'!D10</f>
        <v>17036659.201524742</v>
      </c>
      <c r="F16" s="111">
        <f ca="1">'situazione patrimoniale finanzi'!E11+'situazione patrimoniale finanzi'!E10</f>
        <v>17230107.239249624</v>
      </c>
      <c r="G16" s="111">
        <f t="shared" ca="1" si="2"/>
        <v>193448.03772488236</v>
      </c>
      <c r="I16" s="122"/>
      <c r="J16" s="123"/>
      <c r="K16" s="123"/>
      <c r="L16" s="123"/>
      <c r="M16" s="123"/>
      <c r="N16" s="123"/>
      <c r="O16" s="123"/>
      <c r="P16" s="123"/>
      <c r="Q16" s="123"/>
      <c r="R16" s="119"/>
      <c r="W16" s="89"/>
      <c r="X16" s="89"/>
      <c r="Y16" s="89"/>
      <c r="Z16" s="89"/>
      <c r="AA16" s="89"/>
      <c r="AB16" s="89"/>
      <c r="AC16" s="89"/>
    </row>
    <row r="17" spans="1:29" ht="15" x14ac:dyDescent="0.3">
      <c r="B17" s="103" t="s">
        <v>947</v>
      </c>
      <c r="C17" s="103"/>
      <c r="D17" s="104"/>
      <c r="E17" s="111"/>
      <c r="F17" s="111"/>
      <c r="G17" s="111">
        <f t="shared" si="2"/>
        <v>0</v>
      </c>
      <c r="I17" s="122"/>
      <c r="J17" s="123"/>
      <c r="K17" s="123"/>
      <c r="L17" s="123"/>
      <c r="M17" s="123"/>
      <c r="N17" s="123"/>
      <c r="O17" s="123"/>
      <c r="P17" s="123"/>
      <c r="Q17" s="123"/>
      <c r="R17" s="119"/>
      <c r="W17" s="89"/>
      <c r="X17" s="89"/>
      <c r="Y17" s="89"/>
      <c r="Z17" s="89"/>
      <c r="AA17" s="89"/>
      <c r="AB17" s="89"/>
      <c r="AC17" s="89"/>
    </row>
    <row r="18" spans="1:29" ht="15" x14ac:dyDescent="0.3">
      <c r="B18" s="103" t="s">
        <v>52</v>
      </c>
      <c r="C18" s="103"/>
      <c r="D18" s="104"/>
      <c r="E18" s="111">
        <f>'situazione patrimoniale finanzi'!D9</f>
        <v>7804</v>
      </c>
      <c r="F18" s="111">
        <f ca="1">'situazione patrimoniale finanzi'!E9</f>
        <v>18733</v>
      </c>
      <c r="G18" s="111">
        <f t="shared" ca="1" si="2"/>
        <v>10929</v>
      </c>
      <c r="I18" s="122" t="s">
        <v>948</v>
      </c>
      <c r="J18" s="123"/>
      <c r="K18" s="123"/>
      <c r="L18" s="123"/>
      <c r="M18" s="123"/>
      <c r="N18" s="123"/>
      <c r="O18" s="123"/>
      <c r="P18" s="123"/>
      <c r="Q18" s="123"/>
      <c r="R18" s="119">
        <f t="shared" ref="R18:R26" si="3">SUM(M18:Q18)</f>
        <v>0</v>
      </c>
      <c r="W18" s="89"/>
      <c r="X18" s="89"/>
      <c r="Y18" s="89"/>
      <c r="Z18" s="89"/>
      <c r="AA18" s="89"/>
      <c r="AB18" s="89"/>
      <c r="AC18" s="89"/>
    </row>
    <row r="19" spans="1:29" ht="15" x14ac:dyDescent="0.3">
      <c r="B19" s="103" t="s">
        <v>54</v>
      </c>
      <c r="C19" s="103"/>
      <c r="D19" s="104"/>
      <c r="E19" s="111">
        <f>'situazione patrimoniale finanzi'!D12</f>
        <v>6004</v>
      </c>
      <c r="F19" s="111">
        <f ca="1">'situazione patrimoniale finanzi'!E12</f>
        <v>5704</v>
      </c>
      <c r="G19" s="111">
        <f t="shared" ca="1" si="2"/>
        <v>-300</v>
      </c>
      <c r="I19" s="122" t="s">
        <v>949</v>
      </c>
      <c r="J19" s="123"/>
      <c r="K19" s="123"/>
      <c r="L19" s="123"/>
      <c r="M19" s="123">
        <f ca="1">+G12</f>
        <v>-677716.20999999903</v>
      </c>
      <c r="N19" s="123"/>
      <c r="O19" s="123"/>
      <c r="P19" s="123"/>
      <c r="Q19" s="123"/>
      <c r="R19" s="119">
        <f t="shared" ca="1" si="3"/>
        <v>-677716.20999999903</v>
      </c>
      <c r="W19" s="89"/>
      <c r="X19" s="89"/>
      <c r="Y19" s="89"/>
      <c r="Z19" s="89"/>
      <c r="AA19" s="89"/>
      <c r="AB19" s="89"/>
      <c r="AC19" s="89"/>
    </row>
    <row r="20" spans="1:29" ht="15" x14ac:dyDescent="0.3">
      <c r="A20" s="89" t="s">
        <v>918</v>
      </c>
      <c r="B20" s="103" t="s">
        <v>950</v>
      </c>
      <c r="C20" s="103"/>
      <c r="D20" s="104"/>
      <c r="E20" s="111">
        <f>SUMIF(DATA!R:R,A20,DATA!O:O)</f>
        <v>939334.87</v>
      </c>
      <c r="F20" s="111">
        <f>SUMIF(DATA!R:R,A20,DATA!N:N)</f>
        <v>937358.81</v>
      </c>
      <c r="G20" s="111">
        <f t="shared" si="2"/>
        <v>-1976.0599999999395</v>
      </c>
      <c r="I20" s="122" t="s">
        <v>951</v>
      </c>
      <c r="J20" s="123"/>
      <c r="K20" s="123"/>
      <c r="L20" s="123"/>
      <c r="M20" s="123">
        <f ca="1">+G13</f>
        <v>-779580</v>
      </c>
      <c r="N20" s="123"/>
      <c r="O20" s="123"/>
      <c r="P20" s="123"/>
      <c r="Q20" s="123"/>
      <c r="R20" s="119">
        <f t="shared" ca="1" si="3"/>
        <v>-779580</v>
      </c>
      <c r="W20" s="89"/>
      <c r="X20" s="89"/>
      <c r="Y20" s="89"/>
      <c r="Z20" s="89"/>
      <c r="AA20" s="89"/>
      <c r="AB20" s="89"/>
      <c r="AC20" s="89"/>
    </row>
    <row r="21" spans="1:29" ht="15" x14ac:dyDescent="0.3">
      <c r="B21" s="103" t="s">
        <v>854</v>
      </c>
      <c r="C21" s="103"/>
      <c r="D21" s="104"/>
      <c r="E21" s="111">
        <f>'situazione patrimoniale finanzi'!D14</f>
        <v>4040.22</v>
      </c>
      <c r="F21" s="111">
        <f ca="1">'situazione patrimoniale finanzi'!E14</f>
        <v>3519.58</v>
      </c>
      <c r="G21" s="111">
        <f t="shared" ca="1" si="2"/>
        <v>-520.63999999999987</v>
      </c>
      <c r="I21" s="122" t="s">
        <v>952</v>
      </c>
      <c r="J21" s="123"/>
      <c r="K21" s="123"/>
      <c r="L21" s="123"/>
      <c r="M21" s="123">
        <f ca="1">+G33</f>
        <v>-456061.75</v>
      </c>
      <c r="N21" s="123"/>
      <c r="O21" s="123"/>
      <c r="P21" s="123"/>
      <c r="Q21" s="123"/>
      <c r="R21" s="119">
        <f t="shared" ca="1" si="3"/>
        <v>-456061.75</v>
      </c>
      <c r="W21" s="89"/>
      <c r="X21" s="89"/>
      <c r="Y21" s="89"/>
      <c r="Z21" s="89"/>
      <c r="AA21" s="89"/>
      <c r="AB21" s="89"/>
      <c r="AC21" s="89"/>
    </row>
    <row r="22" spans="1:29" ht="15" x14ac:dyDescent="0.3">
      <c r="B22" s="103" t="s">
        <v>178</v>
      </c>
      <c r="C22" s="103"/>
      <c r="D22" s="104"/>
      <c r="E22" s="111">
        <f>'situazione patrimoniale finanzi'!D13</f>
        <v>326682.65208964917</v>
      </c>
      <c r="F22" s="111">
        <f ca="1">'situazione patrimoniale finanzi'!E13</f>
        <v>388816.31455799326</v>
      </c>
      <c r="G22" s="111">
        <f t="shared" ca="1" si="2"/>
        <v>62133.66246834409</v>
      </c>
      <c r="I22" s="122" t="s">
        <v>953</v>
      </c>
      <c r="J22" s="123"/>
      <c r="K22" s="123"/>
      <c r="L22" s="123"/>
      <c r="M22" s="123">
        <f ca="1">G36+G37+G22+G35+G21+3800</f>
        <v>-444382.69636392489</v>
      </c>
      <c r="N22" s="123"/>
      <c r="O22" s="123"/>
      <c r="P22" s="123"/>
      <c r="Q22" s="123"/>
      <c r="R22" s="119">
        <f t="shared" ca="1" si="3"/>
        <v>-444382.69636392489</v>
      </c>
      <c r="W22" s="89"/>
      <c r="X22" s="89"/>
      <c r="Y22" s="89"/>
      <c r="Z22" s="89"/>
      <c r="AA22" s="89"/>
      <c r="AB22" s="89"/>
      <c r="AC22" s="89"/>
    </row>
    <row r="23" spans="1:29" ht="15" x14ac:dyDescent="0.3">
      <c r="B23" s="103"/>
      <c r="C23" s="103"/>
      <c r="D23" s="104"/>
      <c r="E23" s="116"/>
      <c r="F23" s="116"/>
      <c r="G23" s="111">
        <f t="shared" si="2"/>
        <v>0</v>
      </c>
      <c r="I23" s="122" t="s">
        <v>954</v>
      </c>
      <c r="J23" s="123"/>
      <c r="K23" s="123"/>
      <c r="L23" s="123"/>
      <c r="M23" s="123">
        <f ca="1">+G39</f>
        <v>29908.969999999972</v>
      </c>
      <c r="N23" s="123"/>
      <c r="O23" s="123"/>
      <c r="P23" s="123"/>
      <c r="Q23" s="123"/>
      <c r="R23" s="119">
        <f t="shared" ca="1" si="3"/>
        <v>29908.969999999972</v>
      </c>
      <c r="W23" s="89"/>
      <c r="X23" s="89"/>
      <c r="Y23" s="89"/>
      <c r="Z23" s="89"/>
      <c r="AA23" s="89"/>
      <c r="AB23" s="89"/>
      <c r="AC23" s="89"/>
    </row>
    <row r="24" spans="1:29" thickBot="1" x14ac:dyDescent="0.35">
      <c r="B24" s="103"/>
      <c r="C24" s="103"/>
      <c r="D24" s="104"/>
      <c r="E24" s="124">
        <f>SUM(E10:E23)</f>
        <v>37644635.72361438</v>
      </c>
      <c r="F24" s="124">
        <f ca="1">SUM(F10:F23)</f>
        <v>37699096.013807617</v>
      </c>
      <c r="G24" s="124">
        <f ca="1">SUM(G10:G23)</f>
        <v>54460.290193227018</v>
      </c>
      <c r="I24" s="122" t="s">
        <v>955</v>
      </c>
      <c r="J24" s="123"/>
      <c r="K24" s="123"/>
      <c r="L24" s="123"/>
      <c r="M24" s="123">
        <f ca="1">+G40</f>
        <v>76882.089999999967</v>
      </c>
      <c r="N24" s="123"/>
      <c r="O24" s="123"/>
      <c r="P24" s="123"/>
      <c r="Q24" s="123"/>
      <c r="R24" s="119">
        <f t="shared" ca="1" si="3"/>
        <v>76882.089999999967</v>
      </c>
      <c r="W24" s="89"/>
      <c r="X24" s="89"/>
      <c r="Y24" s="89"/>
      <c r="Z24" s="89"/>
      <c r="AA24" s="89"/>
      <c r="AB24" s="89"/>
      <c r="AC24" s="89"/>
    </row>
    <row r="25" spans="1:29" thickTop="1" x14ac:dyDescent="0.3">
      <c r="B25" s="103"/>
      <c r="C25" s="103"/>
      <c r="D25" s="104"/>
      <c r="E25" s="111">
        <f>+E24-E9</f>
        <v>37644635.72361438</v>
      </c>
      <c r="F25" s="111">
        <f ca="1">+F24-F9</f>
        <v>37699096.013807617</v>
      </c>
      <c r="G25" s="111"/>
      <c r="I25" s="122" t="s">
        <v>1316</v>
      </c>
      <c r="J25" s="123"/>
      <c r="K25" s="123"/>
      <c r="L25" s="123"/>
      <c r="M25" s="123">
        <f ca="1">G14</f>
        <v>270570.26999999955</v>
      </c>
      <c r="N25" s="123"/>
      <c r="O25" s="123"/>
      <c r="P25" s="123"/>
      <c r="Q25" s="123"/>
      <c r="R25" s="119">
        <f t="shared" ca="1" si="3"/>
        <v>270570.26999999955</v>
      </c>
      <c r="W25" s="89"/>
      <c r="X25" s="89"/>
      <c r="Y25" s="89"/>
      <c r="Z25" s="89"/>
      <c r="AA25" s="89"/>
      <c r="AB25" s="89"/>
      <c r="AC25" s="89"/>
    </row>
    <row r="26" spans="1:29" ht="15" x14ac:dyDescent="0.3">
      <c r="B26" s="103"/>
      <c r="C26" s="103"/>
      <c r="D26" s="104"/>
      <c r="E26" s="125"/>
      <c r="F26" s="125"/>
      <c r="G26" s="125"/>
      <c r="I26" s="122"/>
      <c r="J26" s="123"/>
      <c r="K26" s="123"/>
      <c r="L26" s="123"/>
      <c r="M26" s="123"/>
      <c r="N26" s="123"/>
      <c r="O26" s="123"/>
      <c r="P26" s="123"/>
      <c r="Q26" s="123"/>
      <c r="R26" s="119">
        <f t="shared" si="3"/>
        <v>0</v>
      </c>
      <c r="W26" s="89"/>
      <c r="X26" s="89"/>
      <c r="Y26" s="89"/>
      <c r="Z26" s="89"/>
      <c r="AA26" s="89"/>
      <c r="AB26" s="89"/>
      <c r="AC26" s="89"/>
    </row>
    <row r="27" spans="1:29" ht="15" x14ac:dyDescent="0.3">
      <c r="B27" s="105"/>
      <c r="C27" s="105"/>
      <c r="D27" s="126"/>
      <c r="E27" s="98">
        <v>42369</v>
      </c>
      <c r="F27" s="98">
        <v>42004</v>
      </c>
      <c r="G27" s="99" t="s">
        <v>932</v>
      </c>
      <c r="I27" s="122"/>
      <c r="J27" s="123"/>
      <c r="K27" s="123"/>
      <c r="L27" s="123"/>
      <c r="M27" s="123"/>
      <c r="N27" s="123"/>
      <c r="O27" s="123"/>
      <c r="P27" s="123"/>
      <c r="Q27" s="123"/>
      <c r="R27" s="119"/>
      <c r="W27" s="89"/>
      <c r="X27" s="89"/>
      <c r="Y27" s="89"/>
      <c r="Z27" s="89"/>
      <c r="AA27" s="89"/>
      <c r="AB27" s="89"/>
      <c r="AC27" s="89"/>
    </row>
    <row r="28" spans="1:29" ht="15" x14ac:dyDescent="0.3">
      <c r="B28" s="105"/>
      <c r="C28" s="105"/>
      <c r="D28" s="126"/>
      <c r="E28" s="127"/>
      <c r="F28" s="127"/>
      <c r="G28" s="111"/>
      <c r="I28" s="128"/>
      <c r="J28" s="129"/>
      <c r="K28" s="129"/>
      <c r="L28" s="130" t="s">
        <v>957</v>
      </c>
      <c r="M28" s="129">
        <f ca="1">SUM(M10:M27)</f>
        <v>-917531.61500001466</v>
      </c>
      <c r="N28" s="129"/>
      <c r="O28" s="129"/>
      <c r="P28" s="129"/>
      <c r="Q28" s="129"/>
      <c r="R28" s="131">
        <f ca="1">SUM(R10:R27)</f>
        <v>-917531.61500001466</v>
      </c>
      <c r="W28" s="89"/>
      <c r="X28" s="89"/>
      <c r="Y28" s="89"/>
      <c r="Z28" s="89"/>
      <c r="AA28" s="89"/>
      <c r="AB28" s="89"/>
      <c r="AC28" s="89"/>
    </row>
    <row r="29" spans="1:29" ht="15" x14ac:dyDescent="0.3">
      <c r="B29" s="105" t="s">
        <v>956</v>
      </c>
      <c r="C29" s="105"/>
      <c r="D29" s="105"/>
      <c r="E29" s="111"/>
      <c r="F29" s="111">
        <v>0</v>
      </c>
      <c r="G29" s="111">
        <f>+E29-F29</f>
        <v>0</v>
      </c>
      <c r="I29" s="122"/>
      <c r="J29" s="123"/>
      <c r="K29" s="123"/>
      <c r="L29" s="123"/>
      <c r="M29" s="123"/>
      <c r="N29" s="123"/>
      <c r="O29" s="123"/>
      <c r="P29" s="123"/>
      <c r="Q29" s="123"/>
      <c r="R29" s="132"/>
      <c r="W29" s="89"/>
      <c r="X29" s="89"/>
      <c r="Y29" s="89"/>
      <c r="Z29" s="89"/>
      <c r="AA29" s="89"/>
      <c r="AB29" s="89"/>
      <c r="AC29" s="89"/>
    </row>
    <row r="30" spans="1:29" ht="15" x14ac:dyDescent="0.3">
      <c r="B30" s="105" t="s">
        <v>958</v>
      </c>
      <c r="C30" s="105"/>
      <c r="D30" s="105"/>
      <c r="E30" s="111"/>
      <c r="F30" s="111"/>
      <c r="G30" s="111">
        <f>+E30-F30</f>
        <v>0</v>
      </c>
      <c r="I30" s="117" t="s">
        <v>959</v>
      </c>
      <c r="J30" s="123"/>
      <c r="K30" s="123"/>
      <c r="L30" s="123"/>
      <c r="M30" s="123"/>
      <c r="N30" s="123"/>
      <c r="O30" s="123"/>
      <c r="P30" s="123"/>
      <c r="Q30" s="123"/>
      <c r="R30" s="132"/>
      <c r="W30" s="89"/>
      <c r="X30" s="89"/>
      <c r="Y30" s="89"/>
      <c r="Z30" s="89"/>
      <c r="AA30" s="89"/>
      <c r="AB30" s="89"/>
      <c r="AC30" s="89"/>
    </row>
    <row r="31" spans="1:29" ht="15" x14ac:dyDescent="0.3">
      <c r="B31" s="105" t="s">
        <v>981</v>
      </c>
      <c r="C31" s="111"/>
      <c r="D31" s="111"/>
      <c r="E31" s="111">
        <f>'situazione patrimoniale finanzi'!D42+DATA!O239</f>
        <v>8833250.5050000027</v>
      </c>
      <c r="F31" s="111">
        <f ca="1">'situazione patrimoniale finanzi'!E42+DATA!N239</f>
        <v>7652708.3800000008</v>
      </c>
      <c r="G31" s="111">
        <f t="shared" ref="G31:G40" ca="1" si="4">+E31-F31</f>
        <v>1180542.1250000019</v>
      </c>
      <c r="I31" s="122" t="s">
        <v>961</v>
      </c>
      <c r="J31" s="123"/>
      <c r="K31" s="123"/>
      <c r="L31" s="123"/>
      <c r="M31" s="123">
        <f ca="1">+G16-M12</f>
        <v>-714148.37000000139</v>
      </c>
      <c r="N31" s="123"/>
      <c r="O31" s="123"/>
      <c r="P31" s="123"/>
      <c r="Q31" s="123"/>
      <c r="R31" s="119">
        <f t="shared" ref="R31:R37" ca="1" si="5">SUM(M31:Q31)</f>
        <v>-714148.37000000139</v>
      </c>
      <c r="W31" s="89"/>
      <c r="X31" s="89"/>
      <c r="Y31" s="89"/>
      <c r="Z31" s="89"/>
      <c r="AA31" s="89"/>
      <c r="AB31" s="89"/>
      <c r="AC31" s="89"/>
    </row>
    <row r="32" spans="1:29" ht="15" x14ac:dyDescent="0.3">
      <c r="B32" s="105" t="s">
        <v>960</v>
      </c>
      <c r="C32" s="105"/>
      <c r="D32" s="105"/>
      <c r="E32" s="111">
        <f>'situazione patrimoniale finanzi'!D36-DATA!O239</f>
        <v>5715825.8899999997</v>
      </c>
      <c r="F32" s="111">
        <f ca="1">'situazione patrimoniale finanzi'!E36-DATA!N239</f>
        <v>6241857.0099999988</v>
      </c>
      <c r="G32" s="111">
        <f ca="1">+E32-F32</f>
        <v>-526031.11999999918</v>
      </c>
      <c r="I32" s="122" t="s">
        <v>963</v>
      </c>
      <c r="J32" s="123"/>
      <c r="K32" s="123"/>
      <c r="L32" s="123"/>
      <c r="M32" s="123">
        <f>+G17</f>
        <v>0</v>
      </c>
      <c r="N32" s="123"/>
      <c r="O32" s="123"/>
      <c r="P32" s="123"/>
      <c r="Q32" s="123"/>
      <c r="R32" s="119">
        <f t="shared" si="5"/>
        <v>0</v>
      </c>
      <c r="W32" s="89"/>
      <c r="X32" s="89"/>
      <c r="Y32" s="89"/>
      <c r="Z32" s="89"/>
      <c r="AA32" s="89"/>
      <c r="AB32" s="89"/>
      <c r="AC32" s="89"/>
    </row>
    <row r="33" spans="2:29" ht="15" x14ac:dyDescent="0.3">
      <c r="B33" s="105" t="s">
        <v>962</v>
      </c>
      <c r="C33" s="105"/>
      <c r="D33" s="105"/>
      <c r="E33" s="111">
        <f>'situazione patrimoniale finanzi'!D39</f>
        <v>10866101.67</v>
      </c>
      <c r="F33" s="111">
        <f ca="1">'situazione patrimoniale finanzi'!E39</f>
        <v>11322163.42</v>
      </c>
      <c r="G33" s="111">
        <f ca="1">+E33-F33</f>
        <v>-456061.75</v>
      </c>
      <c r="I33" s="122" t="s">
        <v>964</v>
      </c>
      <c r="J33" s="123"/>
      <c r="K33" s="123"/>
      <c r="L33" s="123"/>
      <c r="M33" s="123">
        <f ca="1">+G18-M13-3800</f>
        <v>2.9999999998835847E-2</v>
      </c>
      <c r="N33" s="123"/>
      <c r="O33" s="123"/>
      <c r="P33" s="123"/>
      <c r="Q33" s="123"/>
      <c r="R33" s="119">
        <f t="shared" ca="1" si="5"/>
        <v>2.9999999998835847E-2</v>
      </c>
      <c r="W33" s="89"/>
      <c r="X33" s="89"/>
      <c r="Y33" s="89"/>
      <c r="Z33" s="89"/>
      <c r="AA33" s="89"/>
      <c r="AB33" s="89"/>
      <c r="AC33" s="89"/>
    </row>
    <row r="34" spans="2:29" ht="15" x14ac:dyDescent="0.3">
      <c r="B34" s="105"/>
      <c r="C34" s="105"/>
      <c r="D34" s="105"/>
      <c r="E34" s="111"/>
      <c r="F34" s="111"/>
      <c r="G34" s="111">
        <f t="shared" si="4"/>
        <v>0</v>
      </c>
      <c r="I34" s="122" t="s">
        <v>965</v>
      </c>
      <c r="J34" s="123"/>
      <c r="K34" s="123"/>
      <c r="L34" s="123"/>
      <c r="M34" s="123"/>
      <c r="N34" s="123"/>
      <c r="O34" s="123"/>
      <c r="P34" s="123"/>
      <c r="Q34" s="123"/>
      <c r="R34" s="119">
        <f t="shared" si="5"/>
        <v>0</v>
      </c>
      <c r="W34" s="89"/>
      <c r="X34" s="89"/>
      <c r="Y34" s="89"/>
      <c r="Z34" s="89"/>
      <c r="AA34" s="89"/>
      <c r="AB34" s="89"/>
      <c r="AC34" s="89"/>
    </row>
    <row r="35" spans="2:29" ht="15" x14ac:dyDescent="0.3">
      <c r="B35" s="105" t="s">
        <v>84</v>
      </c>
      <c r="C35" s="105"/>
      <c r="D35" s="105"/>
      <c r="E35" s="111">
        <f>'situazione patrimoniale finanzi'!D35</f>
        <v>2589081.471651182</v>
      </c>
      <c r="F35" s="111">
        <f ca="1">'situazione patrimoniale finanzi'!E35</f>
        <v>2999817.7793371407</v>
      </c>
      <c r="G35" s="111">
        <f t="shared" ca="1" si="4"/>
        <v>-410736.30768595869</v>
      </c>
      <c r="I35" s="122" t="s">
        <v>1092</v>
      </c>
      <c r="J35" s="123"/>
      <c r="K35" s="123"/>
      <c r="L35" s="123"/>
      <c r="M35" s="123">
        <f ca="1">+G19</f>
        <v>-300</v>
      </c>
      <c r="N35" s="123"/>
      <c r="O35" s="123"/>
      <c r="P35" s="123"/>
      <c r="Q35" s="123"/>
      <c r="R35" s="119">
        <f t="shared" ca="1" si="5"/>
        <v>-300</v>
      </c>
      <c r="V35" s="133"/>
      <c r="W35" s="89"/>
      <c r="X35" s="89"/>
      <c r="Y35" s="89"/>
      <c r="Z35" s="89"/>
      <c r="AA35" s="89"/>
      <c r="AB35" s="89"/>
      <c r="AC35" s="89"/>
    </row>
    <row r="36" spans="2:29" ht="15" x14ac:dyDescent="0.3">
      <c r="B36" s="105" t="s">
        <v>180</v>
      </c>
      <c r="C36" s="105"/>
      <c r="D36" s="105"/>
      <c r="E36" s="111">
        <f>'situazione patrimoniale finanzi'!D40</f>
        <v>1145462.7000000002</v>
      </c>
      <c r="F36" s="111">
        <f ca="1">'situazione patrimoniale finanzi'!E40</f>
        <v>892177.54999999993</v>
      </c>
      <c r="G36" s="111">
        <f t="shared" ca="1" si="4"/>
        <v>253285.15000000026</v>
      </c>
      <c r="I36" s="122" t="s">
        <v>1093</v>
      </c>
      <c r="J36" s="123"/>
      <c r="K36" s="123"/>
      <c r="L36" s="123"/>
      <c r="M36" s="123"/>
      <c r="N36" s="123"/>
      <c r="O36" s="123"/>
      <c r="P36" s="123"/>
      <c r="Q36" s="123"/>
      <c r="R36" s="119">
        <f t="shared" si="5"/>
        <v>0</v>
      </c>
      <c r="W36" s="89"/>
      <c r="X36" s="89"/>
      <c r="Y36" s="89"/>
      <c r="Z36" s="89"/>
      <c r="AA36" s="89"/>
      <c r="AB36" s="89"/>
      <c r="AC36" s="89"/>
    </row>
    <row r="37" spans="2:29" ht="15" x14ac:dyDescent="0.3">
      <c r="B37" s="105" t="s">
        <v>966</v>
      </c>
      <c r="C37" s="105"/>
      <c r="D37" s="105"/>
      <c r="E37" s="111">
        <f>'situazione patrimoniale finanzi'!D41</f>
        <v>2289094.1036155839</v>
      </c>
      <c r="F37" s="111">
        <f ca="1">'situazione patrimoniale finanzi'!E41</f>
        <v>2641438.6647618944</v>
      </c>
      <c r="G37" s="111">
        <f t="shared" ca="1" si="4"/>
        <v>-352344.56114631053</v>
      </c>
      <c r="I37" s="122" t="s">
        <v>1375</v>
      </c>
      <c r="J37" s="123"/>
      <c r="K37" s="123"/>
      <c r="L37" s="123"/>
      <c r="M37" s="123">
        <f>+G20-M14</f>
        <v>-5.9999999939464033E-2</v>
      </c>
      <c r="N37" s="123"/>
      <c r="O37" s="123"/>
      <c r="P37" s="123"/>
      <c r="Q37" s="123"/>
      <c r="R37" s="119">
        <f t="shared" si="5"/>
        <v>-5.9999999939464033E-2</v>
      </c>
      <c r="W37" s="89"/>
      <c r="X37" s="89"/>
      <c r="Y37" s="89"/>
      <c r="Z37" s="89"/>
      <c r="AA37" s="89"/>
      <c r="AB37" s="89"/>
      <c r="AC37" s="89"/>
    </row>
    <row r="38" spans="2:29" ht="15" x14ac:dyDescent="0.3">
      <c r="B38" s="105"/>
      <c r="C38" s="105"/>
      <c r="D38" s="105"/>
      <c r="E38" s="111"/>
      <c r="F38" s="111"/>
      <c r="G38" s="111">
        <f t="shared" si="4"/>
        <v>0</v>
      </c>
      <c r="I38" s="122"/>
      <c r="J38" s="123"/>
      <c r="K38" s="123"/>
      <c r="L38" s="123"/>
      <c r="M38" s="123"/>
      <c r="N38" s="123"/>
      <c r="O38" s="123"/>
      <c r="P38" s="123"/>
      <c r="Q38" s="123"/>
      <c r="R38" s="119"/>
      <c r="W38" s="89"/>
      <c r="X38" s="89"/>
      <c r="Y38" s="89"/>
      <c r="Z38" s="89"/>
      <c r="AA38" s="89"/>
      <c r="AB38" s="89"/>
      <c r="AC38" s="89"/>
    </row>
    <row r="39" spans="2:29" ht="15" x14ac:dyDescent="0.3">
      <c r="B39" s="105" t="s">
        <v>895</v>
      </c>
      <c r="C39" s="105"/>
      <c r="D39" s="105"/>
      <c r="E39" s="111">
        <f>'situazione patrimoniale finanzi'!D34</f>
        <v>975811.2</v>
      </c>
      <c r="F39" s="111">
        <f ca="1">'situazione patrimoniale finanzi'!E34</f>
        <v>945902.23</v>
      </c>
      <c r="G39" s="111">
        <f t="shared" ca="1" si="4"/>
        <v>29908.969999999972</v>
      </c>
      <c r="I39" s="128"/>
      <c r="J39" s="129"/>
      <c r="K39" s="129"/>
      <c r="L39" s="130" t="s">
        <v>968</v>
      </c>
      <c r="M39" s="129">
        <f ca="1">SUM(M31:M37)</f>
        <v>-714448.4000000013</v>
      </c>
      <c r="N39" s="129"/>
      <c r="O39" s="129"/>
      <c r="P39" s="129"/>
      <c r="Q39" s="129"/>
      <c r="R39" s="131">
        <f ca="1">SUM(R31:R37)</f>
        <v>-714448.4000000013</v>
      </c>
      <c r="W39" s="89"/>
      <c r="X39" s="89"/>
      <c r="Y39" s="89"/>
      <c r="Z39" s="89"/>
      <c r="AA39" s="89"/>
      <c r="AB39" s="89"/>
      <c r="AC39" s="89"/>
    </row>
    <row r="40" spans="2:29" ht="15" x14ac:dyDescent="0.3">
      <c r="B40" s="105" t="s">
        <v>967</v>
      </c>
      <c r="C40" s="105"/>
      <c r="D40" s="105"/>
      <c r="E40" s="111">
        <f>'situazione patrimoniale finanzi'!D33</f>
        <v>292053.73</v>
      </c>
      <c r="F40" s="111">
        <f ca="1">'situazione patrimoniale finanzi'!E33</f>
        <v>215171.64</v>
      </c>
      <c r="G40" s="111">
        <f t="shared" ca="1" si="4"/>
        <v>76882.089999999967</v>
      </c>
      <c r="I40" s="122"/>
      <c r="J40" s="123"/>
      <c r="K40" s="123"/>
      <c r="L40" s="134"/>
      <c r="M40" s="123"/>
      <c r="N40" s="123"/>
      <c r="O40" s="123"/>
      <c r="P40" s="123"/>
      <c r="Q40" s="123"/>
      <c r="R40" s="132"/>
      <c r="W40" s="89"/>
      <c r="X40" s="89"/>
      <c r="Y40" s="89"/>
      <c r="Z40" s="89"/>
      <c r="AA40" s="89"/>
      <c r="AB40" s="89"/>
      <c r="AC40" s="89"/>
    </row>
    <row r="41" spans="2:29" ht="15" x14ac:dyDescent="0.3">
      <c r="B41" s="105"/>
      <c r="C41" s="105"/>
      <c r="D41" s="105"/>
      <c r="E41" s="116"/>
      <c r="F41" s="116"/>
      <c r="G41" s="111">
        <f>+E41-F41</f>
        <v>0</v>
      </c>
      <c r="I41" s="117" t="s">
        <v>969</v>
      </c>
      <c r="J41" s="123"/>
      <c r="K41" s="123"/>
      <c r="L41" s="123"/>
      <c r="M41" s="123"/>
      <c r="N41" s="123"/>
      <c r="O41" s="123"/>
      <c r="P41" s="123"/>
      <c r="Q41" s="123"/>
      <c r="R41" s="132"/>
      <c r="W41" s="89"/>
      <c r="X41" s="89"/>
      <c r="Y41" s="89"/>
      <c r="Z41" s="89"/>
      <c r="AA41" s="89"/>
      <c r="AB41" s="89"/>
      <c r="AC41" s="89"/>
    </row>
    <row r="42" spans="2:29" ht="15" x14ac:dyDescent="0.3">
      <c r="B42" s="105"/>
      <c r="C42" s="105"/>
      <c r="D42" s="105"/>
      <c r="E42" s="121">
        <f>SUM(E29:E41)</f>
        <v>32706681.270266771</v>
      </c>
      <c r="F42" s="121">
        <f ca="1">SUM(F29:F41)</f>
        <v>32911236.674099039</v>
      </c>
      <c r="G42" s="121">
        <f ca="1">SUM(G29:G41)</f>
        <v>-204555.40383226634</v>
      </c>
      <c r="I42" s="122" t="s">
        <v>970</v>
      </c>
      <c r="J42" s="123"/>
      <c r="K42" s="123"/>
      <c r="L42" s="123"/>
      <c r="M42" s="123">
        <f ca="1">+E43+E44+E45-F43-F44-F45-F46</f>
        <v>-3.219999973080121</v>
      </c>
      <c r="N42" s="123"/>
      <c r="O42" s="123"/>
      <c r="P42" s="123"/>
      <c r="Q42" s="123"/>
      <c r="R42" s="119">
        <f t="shared" ref="R42:R46" ca="1" si="6">SUM(M42:Q42)</f>
        <v>-3.219999973080121</v>
      </c>
      <c r="W42" s="89"/>
      <c r="X42" s="89"/>
      <c r="Y42" s="89"/>
      <c r="Z42" s="89"/>
      <c r="AA42" s="89"/>
      <c r="AB42" s="89"/>
      <c r="AC42" s="89"/>
    </row>
    <row r="43" spans="2:29" ht="15" x14ac:dyDescent="0.3">
      <c r="B43" s="105" t="s">
        <v>971</v>
      </c>
      <c r="C43" s="105"/>
      <c r="D43" s="105"/>
      <c r="E43" s="111">
        <f>'situazione patrimoniale finanzi'!D28</f>
        <v>5300000</v>
      </c>
      <c r="F43" s="111">
        <f ca="1">'situazione patrimoniale finanzi'!E28</f>
        <v>5300000</v>
      </c>
      <c r="G43" s="111">
        <f ca="1">+E43-F43</f>
        <v>0</v>
      </c>
      <c r="I43" s="122" t="s">
        <v>1116</v>
      </c>
      <c r="J43" s="123"/>
      <c r="K43" s="123"/>
      <c r="L43" s="123"/>
      <c r="M43" s="123">
        <f ca="1">+G32+G29</f>
        <v>-526031.11999999918</v>
      </c>
      <c r="N43" s="123">
        <f ca="1">E69-M43</f>
        <v>1018031.1199999992</v>
      </c>
      <c r="O43" s="123"/>
      <c r="P43" s="123"/>
      <c r="Q43" s="123"/>
      <c r="R43" s="119">
        <f t="shared" ca="1" si="6"/>
        <v>492000</v>
      </c>
      <c r="W43" s="89"/>
      <c r="X43" s="89"/>
      <c r="Y43" s="89"/>
      <c r="Z43" s="89"/>
      <c r="AA43" s="89"/>
      <c r="AB43" s="89"/>
      <c r="AC43" s="89"/>
    </row>
    <row r="44" spans="2:29" ht="15" x14ac:dyDescent="0.3">
      <c r="B44" s="105" t="s">
        <v>972</v>
      </c>
      <c r="C44" s="105"/>
      <c r="D44" s="105"/>
      <c r="E44" s="111">
        <f>'situazione patrimoniale finanzi'!D29</f>
        <v>-512143.88029141416</v>
      </c>
      <c r="F44" s="111">
        <f ca="1">'situazione patrimoniale finanzi'!E29</f>
        <v>-311402.6166065014</v>
      </c>
      <c r="G44" s="111">
        <f ca="1">+E44-F44</f>
        <v>-200741.26368491276</v>
      </c>
      <c r="I44" s="122" t="s">
        <v>1118</v>
      </c>
      <c r="J44" s="123"/>
      <c r="K44" s="123"/>
      <c r="L44" s="123"/>
      <c r="M44" s="123"/>
      <c r="N44" s="123">
        <f ca="1">-N43</f>
        <v>-1018031.1199999992</v>
      </c>
      <c r="O44" s="123"/>
      <c r="P44" s="123"/>
      <c r="Q44" s="123"/>
      <c r="R44" s="119">
        <f t="shared" ca="1" si="6"/>
        <v>-1018031.1199999992</v>
      </c>
      <c r="W44" s="89"/>
      <c r="X44" s="89"/>
      <c r="Y44" s="89"/>
      <c r="Z44" s="89"/>
      <c r="AA44" s="89"/>
      <c r="AB44" s="89"/>
      <c r="AC44" s="89"/>
    </row>
    <row r="45" spans="2:29" ht="15" x14ac:dyDescent="0.3">
      <c r="B45" s="105" t="s">
        <v>972</v>
      </c>
      <c r="C45" s="105"/>
      <c r="D45" s="105"/>
      <c r="E45" s="111"/>
      <c r="F45" s="111"/>
      <c r="G45" s="111">
        <f>+E45-F45</f>
        <v>0</v>
      </c>
      <c r="I45" s="122" t="s">
        <v>974</v>
      </c>
      <c r="J45" s="123"/>
      <c r="K45" s="123"/>
      <c r="L45" s="123"/>
      <c r="M45" s="123">
        <f>+G30</f>
        <v>0</v>
      </c>
      <c r="N45" s="123"/>
      <c r="O45" s="123"/>
      <c r="P45" s="123"/>
      <c r="Q45" s="123"/>
      <c r="R45" s="119">
        <f t="shared" si="6"/>
        <v>0</v>
      </c>
      <c r="W45" s="89"/>
      <c r="X45" s="89"/>
      <c r="Y45" s="89"/>
      <c r="Z45" s="89"/>
      <c r="AA45" s="89"/>
      <c r="AB45" s="89"/>
      <c r="AC45" s="89"/>
    </row>
    <row r="46" spans="2:29" ht="15" x14ac:dyDescent="0.3">
      <c r="B46" s="105" t="s">
        <v>973</v>
      </c>
      <c r="C46" s="105"/>
      <c r="D46" s="105"/>
      <c r="E46" s="116">
        <f>'situazione patrimoniale finanzi'!D30</f>
        <v>150098.33363902569</v>
      </c>
      <c r="F46" s="116">
        <f>'situazione patrimoniale finanzi'!E30</f>
        <v>-200738.04368493997</v>
      </c>
      <c r="G46" s="111">
        <f>+E46-F46</f>
        <v>350836.37732396566</v>
      </c>
      <c r="I46" s="122" t="s">
        <v>975</v>
      </c>
      <c r="J46" s="123"/>
      <c r="K46" s="123"/>
      <c r="L46" s="123"/>
      <c r="M46" s="123">
        <f ca="1">+G31</f>
        <v>1180542.1250000019</v>
      </c>
      <c r="N46" s="123"/>
      <c r="O46" s="123"/>
      <c r="P46" s="123"/>
      <c r="Q46" s="123"/>
      <c r="R46" s="119">
        <f t="shared" ca="1" si="6"/>
        <v>1180542.1250000019</v>
      </c>
      <c r="W46" s="89"/>
      <c r="X46" s="89"/>
      <c r="Y46" s="89"/>
      <c r="Z46" s="89"/>
      <c r="AA46" s="89"/>
      <c r="AB46" s="89"/>
      <c r="AC46" s="89"/>
    </row>
    <row r="47" spans="2:29" ht="15" x14ac:dyDescent="0.3">
      <c r="B47" s="105"/>
      <c r="C47" s="105"/>
      <c r="D47" s="105"/>
      <c r="E47" s="121">
        <f>SUM(E43:E46)</f>
        <v>4937954.4533476112</v>
      </c>
      <c r="F47" s="121">
        <f ca="1">SUM(F43:F46)</f>
        <v>4787859.3397085583</v>
      </c>
      <c r="G47" s="121">
        <f ca="1">SUM(G43:G46)</f>
        <v>150095.1136390529</v>
      </c>
      <c r="I47" s="122"/>
      <c r="J47" s="123"/>
      <c r="K47" s="123"/>
      <c r="L47" s="123"/>
      <c r="M47" s="123"/>
      <c r="N47" s="123"/>
      <c r="O47" s="123"/>
      <c r="P47" s="123"/>
      <c r="Q47" s="123"/>
      <c r="R47" s="119"/>
      <c r="W47" s="89"/>
      <c r="X47" s="89"/>
      <c r="Y47" s="89"/>
      <c r="Z47" s="89"/>
      <c r="AA47" s="89"/>
      <c r="AB47" s="89"/>
      <c r="AC47" s="89"/>
    </row>
    <row r="48" spans="2:29" thickBot="1" x14ac:dyDescent="0.35">
      <c r="B48" s="105"/>
      <c r="C48" s="105"/>
      <c r="D48" s="105"/>
      <c r="E48" s="136">
        <f>+E42+E47</f>
        <v>37644635.72361438</v>
      </c>
      <c r="F48" s="136">
        <f ca="1">+F42+F47</f>
        <v>37699096.013807595</v>
      </c>
      <c r="G48" s="136">
        <f ca="1">+G42+G47</f>
        <v>-54460.290193213441</v>
      </c>
      <c r="H48" s="135"/>
      <c r="I48" s="128"/>
      <c r="J48" s="129"/>
      <c r="K48" s="129"/>
      <c r="L48" s="130" t="s">
        <v>976</v>
      </c>
      <c r="M48" s="129">
        <f ca="1">SUM(M42:M46)</f>
        <v>654507.7850000296</v>
      </c>
      <c r="N48" s="129"/>
      <c r="O48" s="129"/>
      <c r="P48" s="129"/>
      <c r="Q48" s="129"/>
      <c r="R48" s="131">
        <f ca="1">SUM(R42:R46)</f>
        <v>654507.7850000296</v>
      </c>
      <c r="W48" s="89"/>
      <c r="X48" s="89"/>
      <c r="Y48" s="89"/>
      <c r="Z48" s="89"/>
      <c r="AA48" s="89"/>
      <c r="AB48" s="89"/>
      <c r="AC48" s="89"/>
    </row>
    <row r="49" spans="2:29" s="93" customFormat="1" thickTop="1" x14ac:dyDescent="0.3">
      <c r="B49" s="89"/>
      <c r="C49" s="89"/>
      <c r="D49" s="89"/>
      <c r="E49" s="137">
        <f>+E48-E9</f>
        <v>37644635.72361438</v>
      </c>
      <c r="F49" s="137">
        <f ca="1">+F48-F9</f>
        <v>37699096.013807595</v>
      </c>
      <c r="G49" s="137"/>
      <c r="H49" s="135"/>
      <c r="I49" s="122"/>
      <c r="J49" s="123"/>
      <c r="K49" s="123"/>
      <c r="L49" s="134"/>
      <c r="M49" s="123"/>
      <c r="N49" s="123"/>
      <c r="O49" s="123"/>
      <c r="P49" s="123"/>
      <c r="Q49" s="123"/>
      <c r="R49" s="132"/>
      <c r="S49" s="89"/>
      <c r="T49" s="91"/>
      <c r="U49" s="89"/>
      <c r="V49" s="89"/>
    </row>
    <row r="50" spans="2:29" ht="15" x14ac:dyDescent="0.3">
      <c r="E50" s="137">
        <f>+E25-E49</f>
        <v>0</v>
      </c>
      <c r="F50" s="137">
        <f ca="1">+F25-F49</f>
        <v>0</v>
      </c>
      <c r="G50" s="137"/>
      <c r="H50" s="94"/>
      <c r="I50" s="117" t="s">
        <v>977</v>
      </c>
      <c r="J50" s="118"/>
      <c r="K50" s="123"/>
      <c r="L50" s="123"/>
      <c r="M50" s="123">
        <f ca="1">+M28+M39+M48</f>
        <v>-977472.22999998636</v>
      </c>
      <c r="N50" s="123"/>
      <c r="O50" s="123"/>
      <c r="P50" s="123"/>
      <c r="Q50" s="123"/>
      <c r="R50" s="132">
        <f ca="1">+R28+R39+R48</f>
        <v>-977472.22999998636</v>
      </c>
      <c r="U50" s="93"/>
      <c r="V50" s="93"/>
      <c r="W50" s="89"/>
      <c r="X50" s="89"/>
      <c r="Y50" s="89"/>
      <c r="Z50" s="89"/>
      <c r="AA50" s="89"/>
      <c r="AB50" s="89"/>
      <c r="AC50" s="89"/>
    </row>
    <row r="51" spans="2:29" ht="15" x14ac:dyDescent="0.3">
      <c r="E51" s="137"/>
      <c r="F51" s="137"/>
      <c r="G51" s="137"/>
      <c r="I51" s="117" t="s">
        <v>978</v>
      </c>
      <c r="J51" s="118"/>
      <c r="K51" s="123"/>
      <c r="L51" s="123"/>
      <c r="M51" s="138">
        <f ca="1">+F10</f>
        <v>1269251.43</v>
      </c>
      <c r="N51" s="123"/>
      <c r="O51" s="123"/>
      <c r="P51" s="123"/>
      <c r="Q51" s="123"/>
      <c r="R51" s="139">
        <f ca="1">SUM(M51:Q51)</f>
        <v>1269251.43</v>
      </c>
      <c r="W51" s="89"/>
      <c r="X51" s="89"/>
      <c r="Y51" s="89"/>
      <c r="Z51" s="89"/>
      <c r="AA51" s="89"/>
      <c r="AB51" s="89"/>
      <c r="AC51" s="89"/>
    </row>
    <row r="52" spans="2:29" thickBot="1" x14ac:dyDescent="0.35">
      <c r="E52" s="88"/>
      <c r="F52" s="88"/>
      <c r="G52" s="88"/>
      <c r="I52" s="117" t="s">
        <v>979</v>
      </c>
      <c r="J52" s="118"/>
      <c r="K52" s="123"/>
      <c r="L52" s="123"/>
      <c r="M52" s="140">
        <f ca="1">SUM(M50:M51)</f>
        <v>291779.20000001357</v>
      </c>
      <c r="N52" s="123"/>
      <c r="O52" s="123"/>
      <c r="P52" s="123"/>
      <c r="Q52" s="123"/>
      <c r="R52" s="141">
        <f ca="1">SUM(R50:R51)</f>
        <v>291779.20000001357</v>
      </c>
      <c r="W52" s="89"/>
      <c r="X52" s="89"/>
      <c r="Y52" s="89"/>
      <c r="Z52" s="89"/>
      <c r="AA52" s="89"/>
      <c r="AB52" s="89"/>
      <c r="AC52" s="89"/>
    </row>
    <row r="53" spans="2:29" ht="16.5" thickTop="1" thickBot="1" x14ac:dyDescent="0.35">
      <c r="E53" s="88"/>
      <c r="F53" s="88"/>
      <c r="G53" s="88"/>
      <c r="I53" s="142"/>
      <c r="J53" s="143"/>
      <c r="K53" s="143"/>
      <c r="L53" s="143"/>
      <c r="M53" s="144"/>
      <c r="N53" s="144"/>
      <c r="O53" s="144"/>
      <c r="P53" s="144"/>
      <c r="Q53" s="144"/>
      <c r="R53" s="145"/>
      <c r="W53" s="89"/>
      <c r="X53" s="89"/>
      <c r="Y53" s="89"/>
      <c r="Z53" s="89"/>
      <c r="AA53" s="89"/>
      <c r="AB53" s="89"/>
      <c r="AC53" s="89"/>
    </row>
    <row r="54" spans="2:29" ht="15" x14ac:dyDescent="0.3">
      <c r="E54" s="88"/>
      <c r="F54" s="88"/>
      <c r="G54" s="88"/>
      <c r="M54" s="133"/>
      <c r="N54" s="133"/>
      <c r="O54" s="133"/>
      <c r="P54" s="133"/>
      <c r="Q54" s="133"/>
      <c r="R54" s="133"/>
      <c r="W54" s="89"/>
      <c r="X54" s="89"/>
      <c r="Y54" s="89"/>
      <c r="Z54" s="89"/>
      <c r="AA54" s="89"/>
      <c r="AB54" s="89"/>
      <c r="AC54" s="89"/>
    </row>
    <row r="55" spans="2:29" ht="15" x14ac:dyDescent="0.3">
      <c r="I55" s="137"/>
      <c r="J55" s="137"/>
      <c r="K55" s="137"/>
      <c r="L55" s="137"/>
      <c r="M55" s="146">
        <f ca="1">+M52-E10</f>
        <v>1.3678800314664841E-8</v>
      </c>
      <c r="N55" s="137">
        <f ca="1">SUM(N10:N52)</f>
        <v>0</v>
      </c>
      <c r="O55" s="137">
        <f>SUM(O10:O52)</f>
        <v>0</v>
      </c>
      <c r="P55" s="137">
        <f>SUM(P10:P52)</f>
        <v>0</v>
      </c>
      <c r="Q55" s="137">
        <f>SUM(Q10:Q52)</f>
        <v>0</v>
      </c>
      <c r="R55" s="146">
        <f ca="1">+R52-E10</f>
        <v>1.3678800314664841E-8</v>
      </c>
      <c r="W55" s="89"/>
      <c r="X55" s="89"/>
      <c r="Y55" s="89"/>
      <c r="Z55" s="89"/>
      <c r="AA55" s="89"/>
      <c r="AB55" s="89"/>
      <c r="AC55" s="89"/>
    </row>
    <row r="56" spans="2:29" ht="15" x14ac:dyDescent="0.3">
      <c r="M56" s="133"/>
      <c r="N56" s="133"/>
      <c r="O56" s="137"/>
      <c r="P56" s="137"/>
      <c r="Q56" s="137"/>
      <c r="R56" s="114"/>
      <c r="W56" s="89"/>
      <c r="X56" s="89"/>
      <c r="Y56" s="89"/>
      <c r="Z56" s="89"/>
      <c r="AA56" s="89"/>
      <c r="AB56" s="89"/>
      <c r="AC56" s="89"/>
    </row>
    <row r="57" spans="2:29" ht="15" x14ac:dyDescent="0.3">
      <c r="M57" s="133"/>
      <c r="N57" s="133"/>
      <c r="O57" s="133"/>
      <c r="P57" s="133"/>
      <c r="Q57" s="133"/>
      <c r="R57" s="133"/>
      <c r="W57" s="89"/>
      <c r="X57" s="89"/>
      <c r="Y57" s="89"/>
      <c r="Z57" s="89"/>
      <c r="AA57" s="89"/>
      <c r="AB57" s="89"/>
      <c r="AC57" s="89"/>
    </row>
    <row r="58" spans="2:29" ht="15" x14ac:dyDescent="0.3">
      <c r="M58" s="133"/>
      <c r="N58" s="133"/>
      <c r="O58" s="133"/>
      <c r="P58" s="133"/>
      <c r="Q58" s="133"/>
      <c r="R58" s="133"/>
      <c r="W58" s="89"/>
      <c r="X58" s="89"/>
      <c r="Y58" s="89"/>
      <c r="Z58" s="89"/>
      <c r="AA58" s="89"/>
      <c r="AB58" s="89"/>
      <c r="AC58" s="89"/>
    </row>
    <row r="59" spans="2:29" ht="15" x14ac:dyDescent="0.3">
      <c r="I59" s="166"/>
      <c r="J59" s="166"/>
      <c r="K59" s="166"/>
      <c r="M59" s="133"/>
      <c r="N59" s="133"/>
      <c r="O59" s="133"/>
      <c r="P59" s="133"/>
      <c r="Q59" s="133"/>
      <c r="R59" s="133"/>
      <c r="W59" s="89"/>
      <c r="X59" s="89"/>
      <c r="Y59" s="89"/>
      <c r="Z59" s="89"/>
      <c r="AA59" s="89"/>
      <c r="AB59" s="89"/>
      <c r="AC59" s="89"/>
    </row>
    <row r="60" spans="2:29" ht="15" x14ac:dyDescent="0.3">
      <c r="B60" s="89" t="s">
        <v>1117</v>
      </c>
      <c r="I60" s="166">
        <v>167753.14000000001</v>
      </c>
      <c r="J60" s="166">
        <v>128816.18</v>
      </c>
      <c r="K60" s="166">
        <v>296345.76</v>
      </c>
      <c r="M60" s="133"/>
      <c r="N60" s="133"/>
      <c r="O60" s="137"/>
      <c r="P60" s="137"/>
      <c r="Q60" s="137"/>
      <c r="R60" s="114"/>
      <c r="W60" s="89"/>
      <c r="X60" s="89"/>
      <c r="Y60" s="89"/>
      <c r="Z60" s="89"/>
      <c r="AA60" s="89"/>
      <c r="AB60" s="89"/>
      <c r="AC60" s="89"/>
    </row>
    <row r="61" spans="2:29" ht="15" x14ac:dyDescent="0.3">
      <c r="B61" s="161"/>
      <c r="E61" s="162"/>
      <c r="F61" s="163"/>
      <c r="G61" s="164"/>
      <c r="I61" s="166">
        <v>160000</v>
      </c>
      <c r="J61" s="166">
        <v>480000</v>
      </c>
      <c r="K61" s="166">
        <v>640000</v>
      </c>
      <c r="O61" s="137"/>
      <c r="P61" s="137"/>
      <c r="Q61" s="137"/>
      <c r="R61" s="114"/>
      <c r="W61" s="89"/>
      <c r="X61" s="89"/>
      <c r="Y61" s="89"/>
      <c r="Z61" s="89"/>
      <c r="AA61" s="89"/>
      <c r="AB61" s="89"/>
      <c r="AC61" s="89"/>
    </row>
    <row r="62" spans="2:29" ht="15" x14ac:dyDescent="0.3">
      <c r="B62" s="161" t="s">
        <v>473</v>
      </c>
      <c r="E62" s="162">
        <v>500000</v>
      </c>
      <c r="F62" s="167">
        <v>2.4639999999999999E-2</v>
      </c>
      <c r="G62" s="168">
        <v>2014</v>
      </c>
      <c r="H62" s="165"/>
      <c r="I62" s="175"/>
      <c r="J62" s="175"/>
      <c r="K62" s="175"/>
      <c r="O62" s="137"/>
      <c r="P62" s="137"/>
      <c r="Q62" s="137"/>
      <c r="R62" s="114"/>
      <c r="W62" s="89"/>
      <c r="X62" s="89"/>
      <c r="Y62" s="89"/>
      <c r="Z62" s="89"/>
      <c r="AA62" s="89"/>
      <c r="AB62" s="89"/>
      <c r="AC62" s="89"/>
    </row>
    <row r="63" spans="2:29" ht="15" x14ac:dyDescent="0.3">
      <c r="B63" s="161" t="s">
        <v>474</v>
      </c>
      <c r="E63" s="162">
        <v>800000</v>
      </c>
      <c r="F63" s="163">
        <v>5.45E-2</v>
      </c>
      <c r="G63" s="169">
        <v>2014</v>
      </c>
      <c r="H63" s="165">
        <v>2017</v>
      </c>
      <c r="I63" s="180"/>
      <c r="J63" s="180"/>
      <c r="K63" s="180"/>
      <c r="W63" s="89"/>
      <c r="X63" s="89"/>
      <c r="Y63" s="89"/>
      <c r="Z63" s="89"/>
      <c r="AA63" s="89"/>
      <c r="AB63" s="89"/>
      <c r="AC63" s="89"/>
    </row>
    <row r="64" spans="2:29" x14ac:dyDescent="0.3">
      <c r="B64" s="170" t="s">
        <v>475</v>
      </c>
      <c r="E64" s="171">
        <v>1158000</v>
      </c>
      <c r="F64" s="172">
        <v>5.45E-2</v>
      </c>
      <c r="G64" s="173">
        <v>2014</v>
      </c>
      <c r="H64" s="165">
        <v>2019</v>
      </c>
      <c r="I64" s="166"/>
      <c r="J64" s="166"/>
      <c r="K64" s="166"/>
      <c r="O64" s="137"/>
      <c r="P64" s="137"/>
      <c r="Q64" s="137"/>
      <c r="R64" s="114"/>
    </row>
    <row r="65" spans="2:29" ht="15" x14ac:dyDescent="0.3">
      <c r="B65" s="176">
        <v>2014</v>
      </c>
      <c r="E65" s="177">
        <f>SUM(E62:E64)</f>
        <v>2458000</v>
      </c>
      <c r="F65" s="163"/>
      <c r="G65" s="178"/>
      <c r="H65" s="174">
        <v>2030</v>
      </c>
      <c r="I65" s="166">
        <v>49678.48</v>
      </c>
      <c r="J65" s="166">
        <v>63868.45</v>
      </c>
      <c r="K65" s="166">
        <v>113546.93</v>
      </c>
      <c r="O65" s="137"/>
      <c r="P65" s="137"/>
      <c r="Q65" s="137"/>
      <c r="R65" s="113"/>
      <c r="W65" s="89"/>
      <c r="X65" s="89"/>
      <c r="Y65" s="89"/>
      <c r="Z65" s="89"/>
      <c r="AA65" s="89"/>
      <c r="AB65" s="89"/>
      <c r="AC65" s="89"/>
    </row>
    <row r="66" spans="2:29" ht="15" x14ac:dyDescent="0.3">
      <c r="B66" s="161"/>
      <c r="E66" s="162"/>
      <c r="F66" s="163"/>
      <c r="G66" s="164"/>
      <c r="H66" s="179"/>
      <c r="I66" s="175">
        <v>0</v>
      </c>
      <c r="J66" s="175">
        <v>1500000</v>
      </c>
      <c r="K66" s="175">
        <v>1500000</v>
      </c>
      <c r="W66" s="89"/>
      <c r="X66" s="89"/>
      <c r="Y66" s="89"/>
      <c r="Z66" s="89"/>
      <c r="AA66" s="89"/>
      <c r="AB66" s="89"/>
      <c r="AC66" s="89"/>
    </row>
    <row r="67" spans="2:29" ht="16.5" thickBot="1" x14ac:dyDescent="0.35">
      <c r="B67" s="161" t="s">
        <v>469</v>
      </c>
      <c r="E67" s="162">
        <v>150000</v>
      </c>
      <c r="F67" s="181">
        <v>2.5000000000000001E-2</v>
      </c>
      <c r="G67" s="168">
        <v>2015</v>
      </c>
      <c r="H67" s="165"/>
    </row>
    <row r="68" spans="2:29" ht="16.5" thickTop="1" x14ac:dyDescent="0.3">
      <c r="B68" s="170" t="s">
        <v>475</v>
      </c>
      <c r="E68" s="171">
        <f>1500000-E64</f>
        <v>342000</v>
      </c>
      <c r="F68" s="172">
        <v>5.45E-2</v>
      </c>
      <c r="G68" s="173">
        <v>2015</v>
      </c>
      <c r="H68" s="165">
        <v>2018</v>
      </c>
    </row>
    <row r="69" spans="2:29" x14ac:dyDescent="0.3">
      <c r="E69" s="182">
        <f>SUM(E67:E68)</f>
        <v>492000</v>
      </c>
      <c r="H69" s="174">
        <v>2030</v>
      </c>
    </row>
    <row r="93" spans="9:29" x14ac:dyDescent="0.3">
      <c r="I93" s="113"/>
    </row>
    <row r="94" spans="9:29" ht="15" x14ac:dyDescent="0.3">
      <c r="I94" s="113"/>
      <c r="W94" s="89"/>
      <c r="X94" s="89"/>
      <c r="Y94" s="89"/>
      <c r="Z94" s="89"/>
      <c r="AA94" s="89"/>
      <c r="AB94" s="89"/>
      <c r="AC94" s="89"/>
    </row>
    <row r="95" spans="9:29" ht="15" x14ac:dyDescent="0.3">
      <c r="I95" s="113"/>
      <c r="W95" s="89"/>
      <c r="X95" s="89"/>
      <c r="Y95" s="89"/>
      <c r="Z95" s="89"/>
      <c r="AA95" s="89"/>
      <c r="AB95" s="89"/>
      <c r="AC95" s="89"/>
    </row>
    <row r="96" spans="9:29" ht="15" x14ac:dyDescent="0.3">
      <c r="I96" s="113"/>
      <c r="W96" s="89"/>
      <c r="X96" s="89"/>
      <c r="Y96" s="89"/>
      <c r="Z96" s="89"/>
      <c r="AA96" s="89"/>
      <c r="AB96" s="89"/>
      <c r="AC96" s="89"/>
    </row>
    <row r="97" spans="9:29" ht="15" x14ac:dyDescent="0.3">
      <c r="I97" s="113"/>
      <c r="W97" s="89"/>
      <c r="X97" s="89"/>
      <c r="Y97" s="89"/>
      <c r="Z97" s="89"/>
      <c r="AA97" s="89"/>
      <c r="AB97" s="89"/>
      <c r="AC97" s="89"/>
    </row>
    <row r="98" spans="9:29" ht="15" x14ac:dyDescent="0.3">
      <c r="I98" s="113"/>
      <c r="W98" s="89"/>
      <c r="X98" s="89"/>
      <c r="Y98" s="89"/>
      <c r="Z98" s="89"/>
      <c r="AA98" s="89"/>
      <c r="AB98" s="89"/>
      <c r="AC98" s="89"/>
    </row>
    <row r="99" spans="9:29" ht="15" x14ac:dyDescent="0.3">
      <c r="W99" s="89"/>
      <c r="X99" s="89"/>
      <c r="Y99" s="89"/>
      <c r="Z99" s="89"/>
      <c r="AA99" s="89"/>
      <c r="AB99" s="89"/>
      <c r="AC99" s="8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99"/>
  <sheetViews>
    <sheetView topLeftCell="A17" workbookViewId="0">
      <selection activeCell="M37" sqref="M37"/>
    </sheetView>
  </sheetViews>
  <sheetFormatPr defaultRowHeight="15.75" outlineLevelCol="2" x14ac:dyDescent="0.3"/>
  <cols>
    <col min="1" max="1" width="9.125" style="89"/>
    <col min="2" max="2" width="29.25" style="89" bestFit="1" customWidth="1"/>
    <col min="3" max="3" width="3" style="89" customWidth="1"/>
    <col min="4" max="4" width="3.625" style="89" customWidth="1"/>
    <col min="5" max="7" width="12.75" style="89" customWidth="1"/>
    <col min="8" max="8" width="6.25" style="90" customWidth="1"/>
    <col min="9" max="9" width="49.375" style="89" customWidth="1"/>
    <col min="10" max="10" width="1.875" style="89" customWidth="1"/>
    <col min="11" max="11" width="1.375" style="89" customWidth="1"/>
    <col min="12" max="12" width="1.125" style="89" customWidth="1"/>
    <col min="13" max="13" width="12.75" style="89" customWidth="1" outlineLevel="1"/>
    <col min="14" max="14" width="18.375" style="89" customWidth="1" outlineLevel="2"/>
    <col min="15" max="16" width="21" style="89" customWidth="1" outlineLevel="1"/>
    <col min="17" max="17" width="13.375" style="89" customWidth="1" outlineLevel="1"/>
    <col min="18" max="18" width="12.75" style="89" customWidth="1"/>
    <col min="19" max="19" width="9.125" style="89"/>
    <col min="20" max="20" width="9.375" style="91" bestFit="1" customWidth="1"/>
    <col min="21" max="22" width="9.125" style="89"/>
    <col min="30" max="256" width="9.125" style="89"/>
    <col min="257" max="257" width="29.25" style="89" bestFit="1" customWidth="1"/>
    <col min="258" max="258" width="3" style="89" customWidth="1"/>
    <col min="259" max="259" width="3.625" style="89" customWidth="1"/>
    <col min="260" max="262" width="12.75" style="89" customWidth="1"/>
    <col min="263" max="263" width="6.25" style="89" customWidth="1"/>
    <col min="264" max="264" width="49.375" style="89" customWidth="1"/>
    <col min="265" max="265" width="1.875" style="89" customWidth="1"/>
    <col min="266" max="266" width="1.375" style="89" customWidth="1"/>
    <col min="267" max="267" width="1.125" style="89" customWidth="1"/>
    <col min="268" max="268" width="12.75" style="89" customWidth="1"/>
    <col min="269" max="269" width="18.375" style="89" customWidth="1"/>
    <col min="270" max="271" width="21" style="89" customWidth="1"/>
    <col min="272" max="273" width="13.375" style="89" customWidth="1"/>
    <col min="274" max="274" width="12.75" style="89" customWidth="1"/>
    <col min="275" max="275" width="9.125" style="89"/>
    <col min="276" max="276" width="9.375" style="89" bestFit="1" customWidth="1"/>
    <col min="277" max="512" width="9.125" style="89"/>
    <col min="513" max="513" width="29.25" style="89" bestFit="1" customWidth="1"/>
    <col min="514" max="514" width="3" style="89" customWidth="1"/>
    <col min="515" max="515" width="3.625" style="89" customWidth="1"/>
    <col min="516" max="518" width="12.75" style="89" customWidth="1"/>
    <col min="519" max="519" width="6.25" style="89" customWidth="1"/>
    <col min="520" max="520" width="49.375" style="89" customWidth="1"/>
    <col min="521" max="521" width="1.875" style="89" customWidth="1"/>
    <col min="522" max="522" width="1.375" style="89" customWidth="1"/>
    <col min="523" max="523" width="1.125" style="89" customWidth="1"/>
    <col min="524" max="524" width="12.75" style="89" customWidth="1"/>
    <col min="525" max="525" width="18.375" style="89" customWidth="1"/>
    <col min="526" max="527" width="21" style="89" customWidth="1"/>
    <col min="528" max="529" width="13.375" style="89" customWidth="1"/>
    <col min="530" max="530" width="12.75" style="89" customWidth="1"/>
    <col min="531" max="531" width="9.125" style="89"/>
    <col min="532" max="532" width="9.375" style="89" bestFit="1" customWidth="1"/>
    <col min="533" max="768" width="9.125" style="89"/>
    <col min="769" max="769" width="29.25" style="89" bestFit="1" customWidth="1"/>
    <col min="770" max="770" width="3" style="89" customWidth="1"/>
    <col min="771" max="771" width="3.625" style="89" customWidth="1"/>
    <col min="772" max="774" width="12.75" style="89" customWidth="1"/>
    <col min="775" max="775" width="6.25" style="89" customWidth="1"/>
    <col min="776" max="776" width="49.375" style="89" customWidth="1"/>
    <col min="777" max="777" width="1.875" style="89" customWidth="1"/>
    <col min="778" max="778" width="1.375" style="89" customWidth="1"/>
    <col min="779" max="779" width="1.125" style="89" customWidth="1"/>
    <col min="780" max="780" width="12.75" style="89" customWidth="1"/>
    <col min="781" max="781" width="18.375" style="89" customWidth="1"/>
    <col min="782" max="783" width="21" style="89" customWidth="1"/>
    <col min="784" max="785" width="13.375" style="89" customWidth="1"/>
    <col min="786" max="786" width="12.75" style="89" customWidth="1"/>
    <col min="787" max="787" width="9.125" style="89"/>
    <col min="788" max="788" width="9.375" style="89" bestFit="1" customWidth="1"/>
    <col min="789" max="1024" width="9.125" style="89"/>
    <col min="1025" max="1025" width="29.25" style="89" bestFit="1" customWidth="1"/>
    <col min="1026" max="1026" width="3" style="89" customWidth="1"/>
    <col min="1027" max="1027" width="3.625" style="89" customWidth="1"/>
    <col min="1028" max="1030" width="12.75" style="89" customWidth="1"/>
    <col min="1031" max="1031" width="6.25" style="89" customWidth="1"/>
    <col min="1032" max="1032" width="49.375" style="89" customWidth="1"/>
    <col min="1033" max="1033" width="1.875" style="89" customWidth="1"/>
    <col min="1034" max="1034" width="1.375" style="89" customWidth="1"/>
    <col min="1035" max="1035" width="1.125" style="89" customWidth="1"/>
    <col min="1036" max="1036" width="12.75" style="89" customWidth="1"/>
    <col min="1037" max="1037" width="18.375" style="89" customWidth="1"/>
    <col min="1038" max="1039" width="21" style="89" customWidth="1"/>
    <col min="1040" max="1041" width="13.375" style="89" customWidth="1"/>
    <col min="1042" max="1042" width="12.75" style="89" customWidth="1"/>
    <col min="1043" max="1043" width="9.125" style="89"/>
    <col min="1044" max="1044" width="9.375" style="89" bestFit="1" customWidth="1"/>
    <col min="1045" max="1280" width="9.125" style="89"/>
    <col min="1281" max="1281" width="29.25" style="89" bestFit="1" customWidth="1"/>
    <col min="1282" max="1282" width="3" style="89" customWidth="1"/>
    <col min="1283" max="1283" width="3.625" style="89" customWidth="1"/>
    <col min="1284" max="1286" width="12.75" style="89" customWidth="1"/>
    <col min="1287" max="1287" width="6.25" style="89" customWidth="1"/>
    <col min="1288" max="1288" width="49.375" style="89" customWidth="1"/>
    <col min="1289" max="1289" width="1.875" style="89" customWidth="1"/>
    <col min="1290" max="1290" width="1.375" style="89" customWidth="1"/>
    <col min="1291" max="1291" width="1.125" style="89" customWidth="1"/>
    <col min="1292" max="1292" width="12.75" style="89" customWidth="1"/>
    <col min="1293" max="1293" width="18.375" style="89" customWidth="1"/>
    <col min="1294" max="1295" width="21" style="89" customWidth="1"/>
    <col min="1296" max="1297" width="13.375" style="89" customWidth="1"/>
    <col min="1298" max="1298" width="12.75" style="89" customWidth="1"/>
    <col min="1299" max="1299" width="9.125" style="89"/>
    <col min="1300" max="1300" width="9.375" style="89" bestFit="1" customWidth="1"/>
    <col min="1301" max="1536" width="9.125" style="89"/>
    <col min="1537" max="1537" width="29.25" style="89" bestFit="1" customWidth="1"/>
    <col min="1538" max="1538" width="3" style="89" customWidth="1"/>
    <col min="1539" max="1539" width="3.625" style="89" customWidth="1"/>
    <col min="1540" max="1542" width="12.75" style="89" customWidth="1"/>
    <col min="1543" max="1543" width="6.25" style="89" customWidth="1"/>
    <col min="1544" max="1544" width="49.375" style="89" customWidth="1"/>
    <col min="1545" max="1545" width="1.875" style="89" customWidth="1"/>
    <col min="1546" max="1546" width="1.375" style="89" customWidth="1"/>
    <col min="1547" max="1547" width="1.125" style="89" customWidth="1"/>
    <col min="1548" max="1548" width="12.75" style="89" customWidth="1"/>
    <col min="1549" max="1549" width="18.375" style="89" customWidth="1"/>
    <col min="1550" max="1551" width="21" style="89" customWidth="1"/>
    <col min="1552" max="1553" width="13.375" style="89" customWidth="1"/>
    <col min="1554" max="1554" width="12.75" style="89" customWidth="1"/>
    <col min="1555" max="1555" width="9.125" style="89"/>
    <col min="1556" max="1556" width="9.375" style="89" bestFit="1" customWidth="1"/>
    <col min="1557" max="1792" width="9.125" style="89"/>
    <col min="1793" max="1793" width="29.25" style="89" bestFit="1" customWidth="1"/>
    <col min="1794" max="1794" width="3" style="89" customWidth="1"/>
    <col min="1795" max="1795" width="3.625" style="89" customWidth="1"/>
    <col min="1796" max="1798" width="12.75" style="89" customWidth="1"/>
    <col min="1799" max="1799" width="6.25" style="89" customWidth="1"/>
    <col min="1800" max="1800" width="49.375" style="89" customWidth="1"/>
    <col min="1801" max="1801" width="1.875" style="89" customWidth="1"/>
    <col min="1802" max="1802" width="1.375" style="89" customWidth="1"/>
    <col min="1803" max="1803" width="1.125" style="89" customWidth="1"/>
    <col min="1804" max="1804" width="12.75" style="89" customWidth="1"/>
    <col min="1805" max="1805" width="18.375" style="89" customWidth="1"/>
    <col min="1806" max="1807" width="21" style="89" customWidth="1"/>
    <col min="1808" max="1809" width="13.375" style="89" customWidth="1"/>
    <col min="1810" max="1810" width="12.75" style="89" customWidth="1"/>
    <col min="1811" max="1811" width="9.125" style="89"/>
    <col min="1812" max="1812" width="9.375" style="89" bestFit="1" customWidth="1"/>
    <col min="1813" max="2048" width="9.125" style="89"/>
    <col min="2049" max="2049" width="29.25" style="89" bestFit="1" customWidth="1"/>
    <col min="2050" max="2050" width="3" style="89" customWidth="1"/>
    <col min="2051" max="2051" width="3.625" style="89" customWidth="1"/>
    <col min="2052" max="2054" width="12.75" style="89" customWidth="1"/>
    <col min="2055" max="2055" width="6.25" style="89" customWidth="1"/>
    <col min="2056" max="2056" width="49.375" style="89" customWidth="1"/>
    <col min="2057" max="2057" width="1.875" style="89" customWidth="1"/>
    <col min="2058" max="2058" width="1.375" style="89" customWidth="1"/>
    <col min="2059" max="2059" width="1.125" style="89" customWidth="1"/>
    <col min="2060" max="2060" width="12.75" style="89" customWidth="1"/>
    <col min="2061" max="2061" width="18.375" style="89" customWidth="1"/>
    <col min="2062" max="2063" width="21" style="89" customWidth="1"/>
    <col min="2064" max="2065" width="13.375" style="89" customWidth="1"/>
    <col min="2066" max="2066" width="12.75" style="89" customWidth="1"/>
    <col min="2067" max="2067" width="9.125" style="89"/>
    <col min="2068" max="2068" width="9.375" style="89" bestFit="1" customWidth="1"/>
    <col min="2069" max="2304" width="9.125" style="89"/>
    <col min="2305" max="2305" width="29.25" style="89" bestFit="1" customWidth="1"/>
    <col min="2306" max="2306" width="3" style="89" customWidth="1"/>
    <col min="2307" max="2307" width="3.625" style="89" customWidth="1"/>
    <col min="2308" max="2310" width="12.75" style="89" customWidth="1"/>
    <col min="2311" max="2311" width="6.25" style="89" customWidth="1"/>
    <col min="2312" max="2312" width="49.375" style="89" customWidth="1"/>
    <col min="2313" max="2313" width="1.875" style="89" customWidth="1"/>
    <col min="2314" max="2314" width="1.375" style="89" customWidth="1"/>
    <col min="2315" max="2315" width="1.125" style="89" customWidth="1"/>
    <col min="2316" max="2316" width="12.75" style="89" customWidth="1"/>
    <col min="2317" max="2317" width="18.375" style="89" customWidth="1"/>
    <col min="2318" max="2319" width="21" style="89" customWidth="1"/>
    <col min="2320" max="2321" width="13.375" style="89" customWidth="1"/>
    <col min="2322" max="2322" width="12.75" style="89" customWidth="1"/>
    <col min="2323" max="2323" width="9.125" style="89"/>
    <col min="2324" max="2324" width="9.375" style="89" bestFit="1" customWidth="1"/>
    <col min="2325" max="2560" width="9.125" style="89"/>
    <col min="2561" max="2561" width="29.25" style="89" bestFit="1" customWidth="1"/>
    <col min="2562" max="2562" width="3" style="89" customWidth="1"/>
    <col min="2563" max="2563" width="3.625" style="89" customWidth="1"/>
    <col min="2564" max="2566" width="12.75" style="89" customWidth="1"/>
    <col min="2567" max="2567" width="6.25" style="89" customWidth="1"/>
    <col min="2568" max="2568" width="49.375" style="89" customWidth="1"/>
    <col min="2569" max="2569" width="1.875" style="89" customWidth="1"/>
    <col min="2570" max="2570" width="1.375" style="89" customWidth="1"/>
    <col min="2571" max="2571" width="1.125" style="89" customWidth="1"/>
    <col min="2572" max="2572" width="12.75" style="89" customWidth="1"/>
    <col min="2573" max="2573" width="18.375" style="89" customWidth="1"/>
    <col min="2574" max="2575" width="21" style="89" customWidth="1"/>
    <col min="2576" max="2577" width="13.375" style="89" customWidth="1"/>
    <col min="2578" max="2578" width="12.75" style="89" customWidth="1"/>
    <col min="2579" max="2579" width="9.125" style="89"/>
    <col min="2580" max="2580" width="9.375" style="89" bestFit="1" customWidth="1"/>
    <col min="2581" max="2816" width="9.125" style="89"/>
    <col min="2817" max="2817" width="29.25" style="89" bestFit="1" customWidth="1"/>
    <col min="2818" max="2818" width="3" style="89" customWidth="1"/>
    <col min="2819" max="2819" width="3.625" style="89" customWidth="1"/>
    <col min="2820" max="2822" width="12.75" style="89" customWidth="1"/>
    <col min="2823" max="2823" width="6.25" style="89" customWidth="1"/>
    <col min="2824" max="2824" width="49.375" style="89" customWidth="1"/>
    <col min="2825" max="2825" width="1.875" style="89" customWidth="1"/>
    <col min="2826" max="2826" width="1.375" style="89" customWidth="1"/>
    <col min="2827" max="2827" width="1.125" style="89" customWidth="1"/>
    <col min="2828" max="2828" width="12.75" style="89" customWidth="1"/>
    <col min="2829" max="2829" width="18.375" style="89" customWidth="1"/>
    <col min="2830" max="2831" width="21" style="89" customWidth="1"/>
    <col min="2832" max="2833" width="13.375" style="89" customWidth="1"/>
    <col min="2834" max="2834" width="12.75" style="89" customWidth="1"/>
    <col min="2835" max="2835" width="9.125" style="89"/>
    <col min="2836" max="2836" width="9.375" style="89" bestFit="1" customWidth="1"/>
    <col min="2837" max="3072" width="9.125" style="89"/>
    <col min="3073" max="3073" width="29.25" style="89" bestFit="1" customWidth="1"/>
    <col min="3074" max="3074" width="3" style="89" customWidth="1"/>
    <col min="3075" max="3075" width="3.625" style="89" customWidth="1"/>
    <col min="3076" max="3078" width="12.75" style="89" customWidth="1"/>
    <col min="3079" max="3079" width="6.25" style="89" customWidth="1"/>
    <col min="3080" max="3080" width="49.375" style="89" customWidth="1"/>
    <col min="3081" max="3081" width="1.875" style="89" customWidth="1"/>
    <col min="3082" max="3082" width="1.375" style="89" customWidth="1"/>
    <col min="3083" max="3083" width="1.125" style="89" customWidth="1"/>
    <col min="3084" max="3084" width="12.75" style="89" customWidth="1"/>
    <col min="3085" max="3085" width="18.375" style="89" customWidth="1"/>
    <col min="3086" max="3087" width="21" style="89" customWidth="1"/>
    <col min="3088" max="3089" width="13.375" style="89" customWidth="1"/>
    <col min="3090" max="3090" width="12.75" style="89" customWidth="1"/>
    <col min="3091" max="3091" width="9.125" style="89"/>
    <col min="3092" max="3092" width="9.375" style="89" bestFit="1" customWidth="1"/>
    <col min="3093" max="3328" width="9.125" style="89"/>
    <col min="3329" max="3329" width="29.25" style="89" bestFit="1" customWidth="1"/>
    <col min="3330" max="3330" width="3" style="89" customWidth="1"/>
    <col min="3331" max="3331" width="3.625" style="89" customWidth="1"/>
    <col min="3332" max="3334" width="12.75" style="89" customWidth="1"/>
    <col min="3335" max="3335" width="6.25" style="89" customWidth="1"/>
    <col min="3336" max="3336" width="49.375" style="89" customWidth="1"/>
    <col min="3337" max="3337" width="1.875" style="89" customWidth="1"/>
    <col min="3338" max="3338" width="1.375" style="89" customWidth="1"/>
    <col min="3339" max="3339" width="1.125" style="89" customWidth="1"/>
    <col min="3340" max="3340" width="12.75" style="89" customWidth="1"/>
    <col min="3341" max="3341" width="18.375" style="89" customWidth="1"/>
    <col min="3342" max="3343" width="21" style="89" customWidth="1"/>
    <col min="3344" max="3345" width="13.375" style="89" customWidth="1"/>
    <col min="3346" max="3346" width="12.75" style="89" customWidth="1"/>
    <col min="3347" max="3347" width="9.125" style="89"/>
    <col min="3348" max="3348" width="9.375" style="89" bestFit="1" customWidth="1"/>
    <col min="3349" max="3584" width="9.125" style="89"/>
    <col min="3585" max="3585" width="29.25" style="89" bestFit="1" customWidth="1"/>
    <col min="3586" max="3586" width="3" style="89" customWidth="1"/>
    <col min="3587" max="3587" width="3.625" style="89" customWidth="1"/>
    <col min="3588" max="3590" width="12.75" style="89" customWidth="1"/>
    <col min="3591" max="3591" width="6.25" style="89" customWidth="1"/>
    <col min="3592" max="3592" width="49.375" style="89" customWidth="1"/>
    <col min="3593" max="3593" width="1.875" style="89" customWidth="1"/>
    <col min="3594" max="3594" width="1.375" style="89" customWidth="1"/>
    <col min="3595" max="3595" width="1.125" style="89" customWidth="1"/>
    <col min="3596" max="3596" width="12.75" style="89" customWidth="1"/>
    <col min="3597" max="3597" width="18.375" style="89" customWidth="1"/>
    <col min="3598" max="3599" width="21" style="89" customWidth="1"/>
    <col min="3600" max="3601" width="13.375" style="89" customWidth="1"/>
    <col min="3602" max="3602" width="12.75" style="89" customWidth="1"/>
    <col min="3603" max="3603" width="9.125" style="89"/>
    <col min="3604" max="3604" width="9.375" style="89" bestFit="1" customWidth="1"/>
    <col min="3605" max="3840" width="9.125" style="89"/>
    <col min="3841" max="3841" width="29.25" style="89" bestFit="1" customWidth="1"/>
    <col min="3842" max="3842" width="3" style="89" customWidth="1"/>
    <col min="3843" max="3843" width="3.625" style="89" customWidth="1"/>
    <col min="3844" max="3846" width="12.75" style="89" customWidth="1"/>
    <col min="3847" max="3847" width="6.25" style="89" customWidth="1"/>
    <col min="3848" max="3848" width="49.375" style="89" customWidth="1"/>
    <col min="3849" max="3849" width="1.875" style="89" customWidth="1"/>
    <col min="3850" max="3850" width="1.375" style="89" customWidth="1"/>
    <col min="3851" max="3851" width="1.125" style="89" customWidth="1"/>
    <col min="3852" max="3852" width="12.75" style="89" customWidth="1"/>
    <col min="3853" max="3853" width="18.375" style="89" customWidth="1"/>
    <col min="3854" max="3855" width="21" style="89" customWidth="1"/>
    <col min="3856" max="3857" width="13.375" style="89" customWidth="1"/>
    <col min="3858" max="3858" width="12.75" style="89" customWidth="1"/>
    <col min="3859" max="3859" width="9.125" style="89"/>
    <col min="3860" max="3860" width="9.375" style="89" bestFit="1" customWidth="1"/>
    <col min="3861" max="4096" width="9.125" style="89"/>
    <col min="4097" max="4097" width="29.25" style="89" bestFit="1" customWidth="1"/>
    <col min="4098" max="4098" width="3" style="89" customWidth="1"/>
    <col min="4099" max="4099" width="3.625" style="89" customWidth="1"/>
    <col min="4100" max="4102" width="12.75" style="89" customWidth="1"/>
    <col min="4103" max="4103" width="6.25" style="89" customWidth="1"/>
    <col min="4104" max="4104" width="49.375" style="89" customWidth="1"/>
    <col min="4105" max="4105" width="1.875" style="89" customWidth="1"/>
    <col min="4106" max="4106" width="1.375" style="89" customWidth="1"/>
    <col min="4107" max="4107" width="1.125" style="89" customWidth="1"/>
    <col min="4108" max="4108" width="12.75" style="89" customWidth="1"/>
    <col min="4109" max="4109" width="18.375" style="89" customWidth="1"/>
    <col min="4110" max="4111" width="21" style="89" customWidth="1"/>
    <col min="4112" max="4113" width="13.375" style="89" customWidth="1"/>
    <col min="4114" max="4114" width="12.75" style="89" customWidth="1"/>
    <col min="4115" max="4115" width="9.125" style="89"/>
    <col min="4116" max="4116" width="9.375" style="89" bestFit="1" customWidth="1"/>
    <col min="4117" max="4352" width="9.125" style="89"/>
    <col min="4353" max="4353" width="29.25" style="89" bestFit="1" customWidth="1"/>
    <col min="4354" max="4354" width="3" style="89" customWidth="1"/>
    <col min="4355" max="4355" width="3.625" style="89" customWidth="1"/>
    <col min="4356" max="4358" width="12.75" style="89" customWidth="1"/>
    <col min="4359" max="4359" width="6.25" style="89" customWidth="1"/>
    <col min="4360" max="4360" width="49.375" style="89" customWidth="1"/>
    <col min="4361" max="4361" width="1.875" style="89" customWidth="1"/>
    <col min="4362" max="4362" width="1.375" style="89" customWidth="1"/>
    <col min="4363" max="4363" width="1.125" style="89" customWidth="1"/>
    <col min="4364" max="4364" width="12.75" style="89" customWidth="1"/>
    <col min="4365" max="4365" width="18.375" style="89" customWidth="1"/>
    <col min="4366" max="4367" width="21" style="89" customWidth="1"/>
    <col min="4368" max="4369" width="13.375" style="89" customWidth="1"/>
    <col min="4370" max="4370" width="12.75" style="89" customWidth="1"/>
    <col min="4371" max="4371" width="9.125" style="89"/>
    <col min="4372" max="4372" width="9.375" style="89" bestFit="1" customWidth="1"/>
    <col min="4373" max="4608" width="9.125" style="89"/>
    <col min="4609" max="4609" width="29.25" style="89" bestFit="1" customWidth="1"/>
    <col min="4610" max="4610" width="3" style="89" customWidth="1"/>
    <col min="4611" max="4611" width="3.625" style="89" customWidth="1"/>
    <col min="4612" max="4614" width="12.75" style="89" customWidth="1"/>
    <col min="4615" max="4615" width="6.25" style="89" customWidth="1"/>
    <col min="4616" max="4616" width="49.375" style="89" customWidth="1"/>
    <col min="4617" max="4617" width="1.875" style="89" customWidth="1"/>
    <col min="4618" max="4618" width="1.375" style="89" customWidth="1"/>
    <col min="4619" max="4619" width="1.125" style="89" customWidth="1"/>
    <col min="4620" max="4620" width="12.75" style="89" customWidth="1"/>
    <col min="4621" max="4621" width="18.375" style="89" customWidth="1"/>
    <col min="4622" max="4623" width="21" style="89" customWidth="1"/>
    <col min="4624" max="4625" width="13.375" style="89" customWidth="1"/>
    <col min="4626" max="4626" width="12.75" style="89" customWidth="1"/>
    <col min="4627" max="4627" width="9.125" style="89"/>
    <col min="4628" max="4628" width="9.375" style="89" bestFit="1" customWidth="1"/>
    <col min="4629" max="4864" width="9.125" style="89"/>
    <col min="4865" max="4865" width="29.25" style="89" bestFit="1" customWidth="1"/>
    <col min="4866" max="4866" width="3" style="89" customWidth="1"/>
    <col min="4867" max="4867" width="3.625" style="89" customWidth="1"/>
    <col min="4868" max="4870" width="12.75" style="89" customWidth="1"/>
    <col min="4871" max="4871" width="6.25" style="89" customWidth="1"/>
    <col min="4872" max="4872" width="49.375" style="89" customWidth="1"/>
    <col min="4873" max="4873" width="1.875" style="89" customWidth="1"/>
    <col min="4874" max="4874" width="1.375" style="89" customWidth="1"/>
    <col min="4875" max="4875" width="1.125" style="89" customWidth="1"/>
    <col min="4876" max="4876" width="12.75" style="89" customWidth="1"/>
    <col min="4877" max="4877" width="18.375" style="89" customWidth="1"/>
    <col min="4878" max="4879" width="21" style="89" customWidth="1"/>
    <col min="4880" max="4881" width="13.375" style="89" customWidth="1"/>
    <col min="4882" max="4882" width="12.75" style="89" customWidth="1"/>
    <col min="4883" max="4883" width="9.125" style="89"/>
    <col min="4884" max="4884" width="9.375" style="89" bestFit="1" customWidth="1"/>
    <col min="4885" max="5120" width="9.125" style="89"/>
    <col min="5121" max="5121" width="29.25" style="89" bestFit="1" customWidth="1"/>
    <col min="5122" max="5122" width="3" style="89" customWidth="1"/>
    <col min="5123" max="5123" width="3.625" style="89" customWidth="1"/>
    <col min="5124" max="5126" width="12.75" style="89" customWidth="1"/>
    <col min="5127" max="5127" width="6.25" style="89" customWidth="1"/>
    <col min="5128" max="5128" width="49.375" style="89" customWidth="1"/>
    <col min="5129" max="5129" width="1.875" style="89" customWidth="1"/>
    <col min="5130" max="5130" width="1.375" style="89" customWidth="1"/>
    <col min="5131" max="5131" width="1.125" style="89" customWidth="1"/>
    <col min="5132" max="5132" width="12.75" style="89" customWidth="1"/>
    <col min="5133" max="5133" width="18.375" style="89" customWidth="1"/>
    <col min="5134" max="5135" width="21" style="89" customWidth="1"/>
    <col min="5136" max="5137" width="13.375" style="89" customWidth="1"/>
    <col min="5138" max="5138" width="12.75" style="89" customWidth="1"/>
    <col min="5139" max="5139" width="9.125" style="89"/>
    <col min="5140" max="5140" width="9.375" style="89" bestFit="1" customWidth="1"/>
    <col min="5141" max="5376" width="9.125" style="89"/>
    <col min="5377" max="5377" width="29.25" style="89" bestFit="1" customWidth="1"/>
    <col min="5378" max="5378" width="3" style="89" customWidth="1"/>
    <col min="5379" max="5379" width="3.625" style="89" customWidth="1"/>
    <col min="5380" max="5382" width="12.75" style="89" customWidth="1"/>
    <col min="5383" max="5383" width="6.25" style="89" customWidth="1"/>
    <col min="5384" max="5384" width="49.375" style="89" customWidth="1"/>
    <col min="5385" max="5385" width="1.875" style="89" customWidth="1"/>
    <col min="5386" max="5386" width="1.375" style="89" customWidth="1"/>
    <col min="5387" max="5387" width="1.125" style="89" customWidth="1"/>
    <col min="5388" max="5388" width="12.75" style="89" customWidth="1"/>
    <col min="5389" max="5389" width="18.375" style="89" customWidth="1"/>
    <col min="5390" max="5391" width="21" style="89" customWidth="1"/>
    <col min="5392" max="5393" width="13.375" style="89" customWidth="1"/>
    <col min="5394" max="5394" width="12.75" style="89" customWidth="1"/>
    <col min="5395" max="5395" width="9.125" style="89"/>
    <col min="5396" max="5396" width="9.375" style="89" bestFit="1" customWidth="1"/>
    <col min="5397" max="5632" width="9.125" style="89"/>
    <col min="5633" max="5633" width="29.25" style="89" bestFit="1" customWidth="1"/>
    <col min="5634" max="5634" width="3" style="89" customWidth="1"/>
    <col min="5635" max="5635" width="3.625" style="89" customWidth="1"/>
    <col min="5636" max="5638" width="12.75" style="89" customWidth="1"/>
    <col min="5639" max="5639" width="6.25" style="89" customWidth="1"/>
    <col min="5640" max="5640" width="49.375" style="89" customWidth="1"/>
    <col min="5641" max="5641" width="1.875" style="89" customWidth="1"/>
    <col min="5642" max="5642" width="1.375" style="89" customWidth="1"/>
    <col min="5643" max="5643" width="1.125" style="89" customWidth="1"/>
    <col min="5644" max="5644" width="12.75" style="89" customWidth="1"/>
    <col min="5645" max="5645" width="18.375" style="89" customWidth="1"/>
    <col min="5646" max="5647" width="21" style="89" customWidth="1"/>
    <col min="5648" max="5649" width="13.375" style="89" customWidth="1"/>
    <col min="5650" max="5650" width="12.75" style="89" customWidth="1"/>
    <col min="5651" max="5651" width="9.125" style="89"/>
    <col min="5652" max="5652" width="9.375" style="89" bestFit="1" customWidth="1"/>
    <col min="5653" max="5888" width="9.125" style="89"/>
    <col min="5889" max="5889" width="29.25" style="89" bestFit="1" customWidth="1"/>
    <col min="5890" max="5890" width="3" style="89" customWidth="1"/>
    <col min="5891" max="5891" width="3.625" style="89" customWidth="1"/>
    <col min="5892" max="5894" width="12.75" style="89" customWidth="1"/>
    <col min="5895" max="5895" width="6.25" style="89" customWidth="1"/>
    <col min="5896" max="5896" width="49.375" style="89" customWidth="1"/>
    <col min="5897" max="5897" width="1.875" style="89" customWidth="1"/>
    <col min="5898" max="5898" width="1.375" style="89" customWidth="1"/>
    <col min="5899" max="5899" width="1.125" style="89" customWidth="1"/>
    <col min="5900" max="5900" width="12.75" style="89" customWidth="1"/>
    <col min="5901" max="5901" width="18.375" style="89" customWidth="1"/>
    <col min="5902" max="5903" width="21" style="89" customWidth="1"/>
    <col min="5904" max="5905" width="13.375" style="89" customWidth="1"/>
    <col min="5906" max="5906" width="12.75" style="89" customWidth="1"/>
    <col min="5907" max="5907" width="9.125" style="89"/>
    <col min="5908" max="5908" width="9.375" style="89" bestFit="1" customWidth="1"/>
    <col min="5909" max="6144" width="9.125" style="89"/>
    <col min="6145" max="6145" width="29.25" style="89" bestFit="1" customWidth="1"/>
    <col min="6146" max="6146" width="3" style="89" customWidth="1"/>
    <col min="6147" max="6147" width="3.625" style="89" customWidth="1"/>
    <col min="6148" max="6150" width="12.75" style="89" customWidth="1"/>
    <col min="6151" max="6151" width="6.25" style="89" customWidth="1"/>
    <col min="6152" max="6152" width="49.375" style="89" customWidth="1"/>
    <col min="6153" max="6153" width="1.875" style="89" customWidth="1"/>
    <col min="6154" max="6154" width="1.375" style="89" customWidth="1"/>
    <col min="6155" max="6155" width="1.125" style="89" customWidth="1"/>
    <col min="6156" max="6156" width="12.75" style="89" customWidth="1"/>
    <col min="6157" max="6157" width="18.375" style="89" customWidth="1"/>
    <col min="6158" max="6159" width="21" style="89" customWidth="1"/>
    <col min="6160" max="6161" width="13.375" style="89" customWidth="1"/>
    <col min="6162" max="6162" width="12.75" style="89" customWidth="1"/>
    <col min="6163" max="6163" width="9.125" style="89"/>
    <col min="6164" max="6164" width="9.375" style="89" bestFit="1" customWidth="1"/>
    <col min="6165" max="6400" width="9.125" style="89"/>
    <col min="6401" max="6401" width="29.25" style="89" bestFit="1" customWidth="1"/>
    <col min="6402" max="6402" width="3" style="89" customWidth="1"/>
    <col min="6403" max="6403" width="3.625" style="89" customWidth="1"/>
    <col min="6404" max="6406" width="12.75" style="89" customWidth="1"/>
    <col min="6407" max="6407" width="6.25" style="89" customWidth="1"/>
    <col min="6408" max="6408" width="49.375" style="89" customWidth="1"/>
    <col min="6409" max="6409" width="1.875" style="89" customWidth="1"/>
    <col min="6410" max="6410" width="1.375" style="89" customWidth="1"/>
    <col min="6411" max="6411" width="1.125" style="89" customWidth="1"/>
    <col min="6412" max="6412" width="12.75" style="89" customWidth="1"/>
    <col min="6413" max="6413" width="18.375" style="89" customWidth="1"/>
    <col min="6414" max="6415" width="21" style="89" customWidth="1"/>
    <col min="6416" max="6417" width="13.375" style="89" customWidth="1"/>
    <col min="6418" max="6418" width="12.75" style="89" customWidth="1"/>
    <col min="6419" max="6419" width="9.125" style="89"/>
    <col min="6420" max="6420" width="9.375" style="89" bestFit="1" customWidth="1"/>
    <col min="6421" max="6656" width="9.125" style="89"/>
    <col min="6657" max="6657" width="29.25" style="89" bestFit="1" customWidth="1"/>
    <col min="6658" max="6658" width="3" style="89" customWidth="1"/>
    <col min="6659" max="6659" width="3.625" style="89" customWidth="1"/>
    <col min="6660" max="6662" width="12.75" style="89" customWidth="1"/>
    <col min="6663" max="6663" width="6.25" style="89" customWidth="1"/>
    <col min="6664" max="6664" width="49.375" style="89" customWidth="1"/>
    <col min="6665" max="6665" width="1.875" style="89" customWidth="1"/>
    <col min="6666" max="6666" width="1.375" style="89" customWidth="1"/>
    <col min="6667" max="6667" width="1.125" style="89" customWidth="1"/>
    <col min="6668" max="6668" width="12.75" style="89" customWidth="1"/>
    <col min="6669" max="6669" width="18.375" style="89" customWidth="1"/>
    <col min="6670" max="6671" width="21" style="89" customWidth="1"/>
    <col min="6672" max="6673" width="13.375" style="89" customWidth="1"/>
    <col min="6674" max="6674" width="12.75" style="89" customWidth="1"/>
    <col min="6675" max="6675" width="9.125" style="89"/>
    <col min="6676" max="6676" width="9.375" style="89" bestFit="1" customWidth="1"/>
    <col min="6677" max="6912" width="9.125" style="89"/>
    <col min="6913" max="6913" width="29.25" style="89" bestFit="1" customWidth="1"/>
    <col min="6914" max="6914" width="3" style="89" customWidth="1"/>
    <col min="6915" max="6915" width="3.625" style="89" customWidth="1"/>
    <col min="6916" max="6918" width="12.75" style="89" customWidth="1"/>
    <col min="6919" max="6919" width="6.25" style="89" customWidth="1"/>
    <col min="6920" max="6920" width="49.375" style="89" customWidth="1"/>
    <col min="6921" max="6921" width="1.875" style="89" customWidth="1"/>
    <col min="6922" max="6922" width="1.375" style="89" customWidth="1"/>
    <col min="6923" max="6923" width="1.125" style="89" customWidth="1"/>
    <col min="6924" max="6924" width="12.75" style="89" customWidth="1"/>
    <col min="6925" max="6925" width="18.375" style="89" customWidth="1"/>
    <col min="6926" max="6927" width="21" style="89" customWidth="1"/>
    <col min="6928" max="6929" width="13.375" style="89" customWidth="1"/>
    <col min="6930" max="6930" width="12.75" style="89" customWidth="1"/>
    <col min="6931" max="6931" width="9.125" style="89"/>
    <col min="6932" max="6932" width="9.375" style="89" bestFit="1" customWidth="1"/>
    <col min="6933" max="7168" width="9.125" style="89"/>
    <col min="7169" max="7169" width="29.25" style="89" bestFit="1" customWidth="1"/>
    <col min="7170" max="7170" width="3" style="89" customWidth="1"/>
    <col min="7171" max="7171" width="3.625" style="89" customWidth="1"/>
    <col min="7172" max="7174" width="12.75" style="89" customWidth="1"/>
    <col min="7175" max="7175" width="6.25" style="89" customWidth="1"/>
    <col min="7176" max="7176" width="49.375" style="89" customWidth="1"/>
    <col min="7177" max="7177" width="1.875" style="89" customWidth="1"/>
    <col min="7178" max="7178" width="1.375" style="89" customWidth="1"/>
    <col min="7179" max="7179" width="1.125" style="89" customWidth="1"/>
    <col min="7180" max="7180" width="12.75" style="89" customWidth="1"/>
    <col min="7181" max="7181" width="18.375" style="89" customWidth="1"/>
    <col min="7182" max="7183" width="21" style="89" customWidth="1"/>
    <col min="7184" max="7185" width="13.375" style="89" customWidth="1"/>
    <col min="7186" max="7186" width="12.75" style="89" customWidth="1"/>
    <col min="7187" max="7187" width="9.125" style="89"/>
    <col min="7188" max="7188" width="9.375" style="89" bestFit="1" customWidth="1"/>
    <col min="7189" max="7424" width="9.125" style="89"/>
    <col min="7425" max="7425" width="29.25" style="89" bestFit="1" customWidth="1"/>
    <col min="7426" max="7426" width="3" style="89" customWidth="1"/>
    <col min="7427" max="7427" width="3.625" style="89" customWidth="1"/>
    <col min="7428" max="7430" width="12.75" style="89" customWidth="1"/>
    <col min="7431" max="7431" width="6.25" style="89" customWidth="1"/>
    <col min="7432" max="7432" width="49.375" style="89" customWidth="1"/>
    <col min="7433" max="7433" width="1.875" style="89" customWidth="1"/>
    <col min="7434" max="7434" width="1.375" style="89" customWidth="1"/>
    <col min="7435" max="7435" width="1.125" style="89" customWidth="1"/>
    <col min="7436" max="7436" width="12.75" style="89" customWidth="1"/>
    <col min="7437" max="7437" width="18.375" style="89" customWidth="1"/>
    <col min="7438" max="7439" width="21" style="89" customWidth="1"/>
    <col min="7440" max="7441" width="13.375" style="89" customWidth="1"/>
    <col min="7442" max="7442" width="12.75" style="89" customWidth="1"/>
    <col min="7443" max="7443" width="9.125" style="89"/>
    <col min="7444" max="7444" width="9.375" style="89" bestFit="1" customWidth="1"/>
    <col min="7445" max="7680" width="9.125" style="89"/>
    <col min="7681" max="7681" width="29.25" style="89" bestFit="1" customWidth="1"/>
    <col min="7682" max="7682" width="3" style="89" customWidth="1"/>
    <col min="7683" max="7683" width="3.625" style="89" customWidth="1"/>
    <col min="7684" max="7686" width="12.75" style="89" customWidth="1"/>
    <col min="7687" max="7687" width="6.25" style="89" customWidth="1"/>
    <col min="7688" max="7688" width="49.375" style="89" customWidth="1"/>
    <col min="7689" max="7689" width="1.875" style="89" customWidth="1"/>
    <col min="7690" max="7690" width="1.375" style="89" customWidth="1"/>
    <col min="7691" max="7691" width="1.125" style="89" customWidth="1"/>
    <col min="7692" max="7692" width="12.75" style="89" customWidth="1"/>
    <col min="7693" max="7693" width="18.375" style="89" customWidth="1"/>
    <col min="7694" max="7695" width="21" style="89" customWidth="1"/>
    <col min="7696" max="7697" width="13.375" style="89" customWidth="1"/>
    <col min="7698" max="7698" width="12.75" style="89" customWidth="1"/>
    <col min="7699" max="7699" width="9.125" style="89"/>
    <col min="7700" max="7700" width="9.375" style="89" bestFit="1" customWidth="1"/>
    <col min="7701" max="7936" width="9.125" style="89"/>
    <col min="7937" max="7937" width="29.25" style="89" bestFit="1" customWidth="1"/>
    <col min="7938" max="7938" width="3" style="89" customWidth="1"/>
    <col min="7939" max="7939" width="3.625" style="89" customWidth="1"/>
    <col min="7940" max="7942" width="12.75" style="89" customWidth="1"/>
    <col min="7943" max="7943" width="6.25" style="89" customWidth="1"/>
    <col min="7944" max="7944" width="49.375" style="89" customWidth="1"/>
    <col min="7945" max="7945" width="1.875" style="89" customWidth="1"/>
    <col min="7946" max="7946" width="1.375" style="89" customWidth="1"/>
    <col min="7947" max="7947" width="1.125" style="89" customWidth="1"/>
    <col min="7948" max="7948" width="12.75" style="89" customWidth="1"/>
    <col min="7949" max="7949" width="18.375" style="89" customWidth="1"/>
    <col min="7950" max="7951" width="21" style="89" customWidth="1"/>
    <col min="7952" max="7953" width="13.375" style="89" customWidth="1"/>
    <col min="7954" max="7954" width="12.75" style="89" customWidth="1"/>
    <col min="7955" max="7955" width="9.125" style="89"/>
    <col min="7956" max="7956" width="9.375" style="89" bestFit="1" customWidth="1"/>
    <col min="7957" max="8192" width="9.125" style="89"/>
    <col min="8193" max="8193" width="29.25" style="89" bestFit="1" customWidth="1"/>
    <col min="8194" max="8194" width="3" style="89" customWidth="1"/>
    <col min="8195" max="8195" width="3.625" style="89" customWidth="1"/>
    <col min="8196" max="8198" width="12.75" style="89" customWidth="1"/>
    <col min="8199" max="8199" width="6.25" style="89" customWidth="1"/>
    <col min="8200" max="8200" width="49.375" style="89" customWidth="1"/>
    <col min="8201" max="8201" width="1.875" style="89" customWidth="1"/>
    <col min="8202" max="8202" width="1.375" style="89" customWidth="1"/>
    <col min="8203" max="8203" width="1.125" style="89" customWidth="1"/>
    <col min="8204" max="8204" width="12.75" style="89" customWidth="1"/>
    <col min="8205" max="8205" width="18.375" style="89" customWidth="1"/>
    <col min="8206" max="8207" width="21" style="89" customWidth="1"/>
    <col min="8208" max="8209" width="13.375" style="89" customWidth="1"/>
    <col min="8210" max="8210" width="12.75" style="89" customWidth="1"/>
    <col min="8211" max="8211" width="9.125" style="89"/>
    <col min="8212" max="8212" width="9.375" style="89" bestFit="1" customWidth="1"/>
    <col min="8213" max="8448" width="9.125" style="89"/>
    <col min="8449" max="8449" width="29.25" style="89" bestFit="1" customWidth="1"/>
    <col min="8450" max="8450" width="3" style="89" customWidth="1"/>
    <col min="8451" max="8451" width="3.625" style="89" customWidth="1"/>
    <col min="8452" max="8454" width="12.75" style="89" customWidth="1"/>
    <col min="8455" max="8455" width="6.25" style="89" customWidth="1"/>
    <col min="8456" max="8456" width="49.375" style="89" customWidth="1"/>
    <col min="8457" max="8457" width="1.875" style="89" customWidth="1"/>
    <col min="8458" max="8458" width="1.375" style="89" customWidth="1"/>
    <col min="8459" max="8459" width="1.125" style="89" customWidth="1"/>
    <col min="8460" max="8460" width="12.75" style="89" customWidth="1"/>
    <col min="8461" max="8461" width="18.375" style="89" customWidth="1"/>
    <col min="8462" max="8463" width="21" style="89" customWidth="1"/>
    <col min="8464" max="8465" width="13.375" style="89" customWidth="1"/>
    <col min="8466" max="8466" width="12.75" style="89" customWidth="1"/>
    <col min="8467" max="8467" width="9.125" style="89"/>
    <col min="8468" max="8468" width="9.375" style="89" bestFit="1" customWidth="1"/>
    <col min="8469" max="8704" width="9.125" style="89"/>
    <col min="8705" max="8705" width="29.25" style="89" bestFit="1" customWidth="1"/>
    <col min="8706" max="8706" width="3" style="89" customWidth="1"/>
    <col min="8707" max="8707" width="3.625" style="89" customWidth="1"/>
    <col min="8708" max="8710" width="12.75" style="89" customWidth="1"/>
    <col min="8711" max="8711" width="6.25" style="89" customWidth="1"/>
    <col min="8712" max="8712" width="49.375" style="89" customWidth="1"/>
    <col min="8713" max="8713" width="1.875" style="89" customWidth="1"/>
    <col min="8714" max="8714" width="1.375" style="89" customWidth="1"/>
    <col min="8715" max="8715" width="1.125" style="89" customWidth="1"/>
    <col min="8716" max="8716" width="12.75" style="89" customWidth="1"/>
    <col min="8717" max="8717" width="18.375" style="89" customWidth="1"/>
    <col min="8718" max="8719" width="21" style="89" customWidth="1"/>
    <col min="8720" max="8721" width="13.375" style="89" customWidth="1"/>
    <col min="8722" max="8722" width="12.75" style="89" customWidth="1"/>
    <col min="8723" max="8723" width="9.125" style="89"/>
    <col min="8724" max="8724" width="9.375" style="89" bestFit="1" customWidth="1"/>
    <col min="8725" max="8960" width="9.125" style="89"/>
    <col min="8961" max="8961" width="29.25" style="89" bestFit="1" customWidth="1"/>
    <col min="8962" max="8962" width="3" style="89" customWidth="1"/>
    <col min="8963" max="8963" width="3.625" style="89" customWidth="1"/>
    <col min="8964" max="8966" width="12.75" style="89" customWidth="1"/>
    <col min="8967" max="8967" width="6.25" style="89" customWidth="1"/>
    <col min="8968" max="8968" width="49.375" style="89" customWidth="1"/>
    <col min="8969" max="8969" width="1.875" style="89" customWidth="1"/>
    <col min="8970" max="8970" width="1.375" style="89" customWidth="1"/>
    <col min="8971" max="8971" width="1.125" style="89" customWidth="1"/>
    <col min="8972" max="8972" width="12.75" style="89" customWidth="1"/>
    <col min="8973" max="8973" width="18.375" style="89" customWidth="1"/>
    <col min="8974" max="8975" width="21" style="89" customWidth="1"/>
    <col min="8976" max="8977" width="13.375" style="89" customWidth="1"/>
    <col min="8978" max="8978" width="12.75" style="89" customWidth="1"/>
    <col min="8979" max="8979" width="9.125" style="89"/>
    <col min="8980" max="8980" width="9.375" style="89" bestFit="1" customWidth="1"/>
    <col min="8981" max="9216" width="9.125" style="89"/>
    <col min="9217" max="9217" width="29.25" style="89" bestFit="1" customWidth="1"/>
    <col min="9218" max="9218" width="3" style="89" customWidth="1"/>
    <col min="9219" max="9219" width="3.625" style="89" customWidth="1"/>
    <col min="9220" max="9222" width="12.75" style="89" customWidth="1"/>
    <col min="9223" max="9223" width="6.25" style="89" customWidth="1"/>
    <col min="9224" max="9224" width="49.375" style="89" customWidth="1"/>
    <col min="9225" max="9225" width="1.875" style="89" customWidth="1"/>
    <col min="9226" max="9226" width="1.375" style="89" customWidth="1"/>
    <col min="9227" max="9227" width="1.125" style="89" customWidth="1"/>
    <col min="9228" max="9228" width="12.75" style="89" customWidth="1"/>
    <col min="9229" max="9229" width="18.375" style="89" customWidth="1"/>
    <col min="9230" max="9231" width="21" style="89" customWidth="1"/>
    <col min="9232" max="9233" width="13.375" style="89" customWidth="1"/>
    <col min="9234" max="9234" width="12.75" style="89" customWidth="1"/>
    <col min="9235" max="9235" width="9.125" style="89"/>
    <col min="9236" max="9236" width="9.375" style="89" bestFit="1" customWidth="1"/>
    <col min="9237" max="9472" width="9.125" style="89"/>
    <col min="9473" max="9473" width="29.25" style="89" bestFit="1" customWidth="1"/>
    <col min="9474" max="9474" width="3" style="89" customWidth="1"/>
    <col min="9475" max="9475" width="3.625" style="89" customWidth="1"/>
    <col min="9476" max="9478" width="12.75" style="89" customWidth="1"/>
    <col min="9479" max="9479" width="6.25" style="89" customWidth="1"/>
    <col min="9480" max="9480" width="49.375" style="89" customWidth="1"/>
    <col min="9481" max="9481" width="1.875" style="89" customWidth="1"/>
    <col min="9482" max="9482" width="1.375" style="89" customWidth="1"/>
    <col min="9483" max="9483" width="1.125" style="89" customWidth="1"/>
    <col min="9484" max="9484" width="12.75" style="89" customWidth="1"/>
    <col min="9485" max="9485" width="18.375" style="89" customWidth="1"/>
    <col min="9486" max="9487" width="21" style="89" customWidth="1"/>
    <col min="9488" max="9489" width="13.375" style="89" customWidth="1"/>
    <col min="9490" max="9490" width="12.75" style="89" customWidth="1"/>
    <col min="9491" max="9491" width="9.125" style="89"/>
    <col min="9492" max="9492" width="9.375" style="89" bestFit="1" customWidth="1"/>
    <col min="9493" max="9728" width="9.125" style="89"/>
    <col min="9729" max="9729" width="29.25" style="89" bestFit="1" customWidth="1"/>
    <col min="9730" max="9730" width="3" style="89" customWidth="1"/>
    <col min="9731" max="9731" width="3.625" style="89" customWidth="1"/>
    <col min="9732" max="9734" width="12.75" style="89" customWidth="1"/>
    <col min="9735" max="9735" width="6.25" style="89" customWidth="1"/>
    <col min="9736" max="9736" width="49.375" style="89" customWidth="1"/>
    <col min="9737" max="9737" width="1.875" style="89" customWidth="1"/>
    <col min="9738" max="9738" width="1.375" style="89" customWidth="1"/>
    <col min="9739" max="9739" width="1.125" style="89" customWidth="1"/>
    <col min="9740" max="9740" width="12.75" style="89" customWidth="1"/>
    <col min="9741" max="9741" width="18.375" style="89" customWidth="1"/>
    <col min="9742" max="9743" width="21" style="89" customWidth="1"/>
    <col min="9744" max="9745" width="13.375" style="89" customWidth="1"/>
    <col min="9746" max="9746" width="12.75" style="89" customWidth="1"/>
    <col min="9747" max="9747" width="9.125" style="89"/>
    <col min="9748" max="9748" width="9.375" style="89" bestFit="1" customWidth="1"/>
    <col min="9749" max="9984" width="9.125" style="89"/>
    <col min="9985" max="9985" width="29.25" style="89" bestFit="1" customWidth="1"/>
    <col min="9986" max="9986" width="3" style="89" customWidth="1"/>
    <col min="9987" max="9987" width="3.625" style="89" customWidth="1"/>
    <col min="9988" max="9990" width="12.75" style="89" customWidth="1"/>
    <col min="9991" max="9991" width="6.25" style="89" customWidth="1"/>
    <col min="9992" max="9992" width="49.375" style="89" customWidth="1"/>
    <col min="9993" max="9993" width="1.875" style="89" customWidth="1"/>
    <col min="9994" max="9994" width="1.375" style="89" customWidth="1"/>
    <col min="9995" max="9995" width="1.125" style="89" customWidth="1"/>
    <col min="9996" max="9996" width="12.75" style="89" customWidth="1"/>
    <col min="9997" max="9997" width="18.375" style="89" customWidth="1"/>
    <col min="9998" max="9999" width="21" style="89" customWidth="1"/>
    <col min="10000" max="10001" width="13.375" style="89" customWidth="1"/>
    <col min="10002" max="10002" width="12.75" style="89" customWidth="1"/>
    <col min="10003" max="10003" width="9.125" style="89"/>
    <col min="10004" max="10004" width="9.375" style="89" bestFit="1" customWidth="1"/>
    <col min="10005" max="10240" width="9.125" style="89"/>
    <col min="10241" max="10241" width="29.25" style="89" bestFit="1" customWidth="1"/>
    <col min="10242" max="10242" width="3" style="89" customWidth="1"/>
    <col min="10243" max="10243" width="3.625" style="89" customWidth="1"/>
    <col min="10244" max="10246" width="12.75" style="89" customWidth="1"/>
    <col min="10247" max="10247" width="6.25" style="89" customWidth="1"/>
    <col min="10248" max="10248" width="49.375" style="89" customWidth="1"/>
    <col min="10249" max="10249" width="1.875" style="89" customWidth="1"/>
    <col min="10250" max="10250" width="1.375" style="89" customWidth="1"/>
    <col min="10251" max="10251" width="1.125" style="89" customWidth="1"/>
    <col min="10252" max="10252" width="12.75" style="89" customWidth="1"/>
    <col min="10253" max="10253" width="18.375" style="89" customWidth="1"/>
    <col min="10254" max="10255" width="21" style="89" customWidth="1"/>
    <col min="10256" max="10257" width="13.375" style="89" customWidth="1"/>
    <col min="10258" max="10258" width="12.75" style="89" customWidth="1"/>
    <col min="10259" max="10259" width="9.125" style="89"/>
    <col min="10260" max="10260" width="9.375" style="89" bestFit="1" customWidth="1"/>
    <col min="10261" max="10496" width="9.125" style="89"/>
    <col min="10497" max="10497" width="29.25" style="89" bestFit="1" customWidth="1"/>
    <col min="10498" max="10498" width="3" style="89" customWidth="1"/>
    <col min="10499" max="10499" width="3.625" style="89" customWidth="1"/>
    <col min="10500" max="10502" width="12.75" style="89" customWidth="1"/>
    <col min="10503" max="10503" width="6.25" style="89" customWidth="1"/>
    <col min="10504" max="10504" width="49.375" style="89" customWidth="1"/>
    <col min="10505" max="10505" width="1.875" style="89" customWidth="1"/>
    <col min="10506" max="10506" width="1.375" style="89" customWidth="1"/>
    <col min="10507" max="10507" width="1.125" style="89" customWidth="1"/>
    <col min="10508" max="10508" width="12.75" style="89" customWidth="1"/>
    <col min="10509" max="10509" width="18.375" style="89" customWidth="1"/>
    <col min="10510" max="10511" width="21" style="89" customWidth="1"/>
    <col min="10512" max="10513" width="13.375" style="89" customWidth="1"/>
    <col min="10514" max="10514" width="12.75" style="89" customWidth="1"/>
    <col min="10515" max="10515" width="9.125" style="89"/>
    <col min="10516" max="10516" width="9.375" style="89" bestFit="1" customWidth="1"/>
    <col min="10517" max="10752" width="9.125" style="89"/>
    <col min="10753" max="10753" width="29.25" style="89" bestFit="1" customWidth="1"/>
    <col min="10754" max="10754" width="3" style="89" customWidth="1"/>
    <col min="10755" max="10755" width="3.625" style="89" customWidth="1"/>
    <col min="10756" max="10758" width="12.75" style="89" customWidth="1"/>
    <col min="10759" max="10759" width="6.25" style="89" customWidth="1"/>
    <col min="10760" max="10760" width="49.375" style="89" customWidth="1"/>
    <col min="10761" max="10761" width="1.875" style="89" customWidth="1"/>
    <col min="10762" max="10762" width="1.375" style="89" customWidth="1"/>
    <col min="10763" max="10763" width="1.125" style="89" customWidth="1"/>
    <col min="10764" max="10764" width="12.75" style="89" customWidth="1"/>
    <col min="10765" max="10765" width="18.375" style="89" customWidth="1"/>
    <col min="10766" max="10767" width="21" style="89" customWidth="1"/>
    <col min="10768" max="10769" width="13.375" style="89" customWidth="1"/>
    <col min="10770" max="10770" width="12.75" style="89" customWidth="1"/>
    <col min="10771" max="10771" width="9.125" style="89"/>
    <col min="10772" max="10772" width="9.375" style="89" bestFit="1" customWidth="1"/>
    <col min="10773" max="11008" width="9.125" style="89"/>
    <col min="11009" max="11009" width="29.25" style="89" bestFit="1" customWidth="1"/>
    <col min="11010" max="11010" width="3" style="89" customWidth="1"/>
    <col min="11011" max="11011" width="3.625" style="89" customWidth="1"/>
    <col min="11012" max="11014" width="12.75" style="89" customWidth="1"/>
    <col min="11015" max="11015" width="6.25" style="89" customWidth="1"/>
    <col min="11016" max="11016" width="49.375" style="89" customWidth="1"/>
    <col min="11017" max="11017" width="1.875" style="89" customWidth="1"/>
    <col min="11018" max="11018" width="1.375" style="89" customWidth="1"/>
    <col min="11019" max="11019" width="1.125" style="89" customWidth="1"/>
    <col min="11020" max="11020" width="12.75" style="89" customWidth="1"/>
    <col min="11021" max="11021" width="18.375" style="89" customWidth="1"/>
    <col min="11022" max="11023" width="21" style="89" customWidth="1"/>
    <col min="11024" max="11025" width="13.375" style="89" customWidth="1"/>
    <col min="11026" max="11026" width="12.75" style="89" customWidth="1"/>
    <col min="11027" max="11027" width="9.125" style="89"/>
    <col min="11028" max="11028" width="9.375" style="89" bestFit="1" customWidth="1"/>
    <col min="11029" max="11264" width="9.125" style="89"/>
    <col min="11265" max="11265" width="29.25" style="89" bestFit="1" customWidth="1"/>
    <col min="11266" max="11266" width="3" style="89" customWidth="1"/>
    <col min="11267" max="11267" width="3.625" style="89" customWidth="1"/>
    <col min="11268" max="11270" width="12.75" style="89" customWidth="1"/>
    <col min="11271" max="11271" width="6.25" style="89" customWidth="1"/>
    <col min="11272" max="11272" width="49.375" style="89" customWidth="1"/>
    <col min="11273" max="11273" width="1.875" style="89" customWidth="1"/>
    <col min="11274" max="11274" width="1.375" style="89" customWidth="1"/>
    <col min="11275" max="11275" width="1.125" style="89" customWidth="1"/>
    <col min="11276" max="11276" width="12.75" style="89" customWidth="1"/>
    <col min="11277" max="11277" width="18.375" style="89" customWidth="1"/>
    <col min="11278" max="11279" width="21" style="89" customWidth="1"/>
    <col min="11280" max="11281" width="13.375" style="89" customWidth="1"/>
    <col min="11282" max="11282" width="12.75" style="89" customWidth="1"/>
    <col min="11283" max="11283" width="9.125" style="89"/>
    <col min="11284" max="11284" width="9.375" style="89" bestFit="1" customWidth="1"/>
    <col min="11285" max="11520" width="9.125" style="89"/>
    <col min="11521" max="11521" width="29.25" style="89" bestFit="1" customWidth="1"/>
    <col min="11522" max="11522" width="3" style="89" customWidth="1"/>
    <col min="11523" max="11523" width="3.625" style="89" customWidth="1"/>
    <col min="11524" max="11526" width="12.75" style="89" customWidth="1"/>
    <col min="11527" max="11527" width="6.25" style="89" customWidth="1"/>
    <col min="11528" max="11528" width="49.375" style="89" customWidth="1"/>
    <col min="11529" max="11529" width="1.875" style="89" customWidth="1"/>
    <col min="11530" max="11530" width="1.375" style="89" customWidth="1"/>
    <col min="11531" max="11531" width="1.125" style="89" customWidth="1"/>
    <col min="11532" max="11532" width="12.75" style="89" customWidth="1"/>
    <col min="11533" max="11533" width="18.375" style="89" customWidth="1"/>
    <col min="11534" max="11535" width="21" style="89" customWidth="1"/>
    <col min="11536" max="11537" width="13.375" style="89" customWidth="1"/>
    <col min="11538" max="11538" width="12.75" style="89" customWidth="1"/>
    <col min="11539" max="11539" width="9.125" style="89"/>
    <col min="11540" max="11540" width="9.375" style="89" bestFit="1" customWidth="1"/>
    <col min="11541" max="11776" width="9.125" style="89"/>
    <col min="11777" max="11777" width="29.25" style="89" bestFit="1" customWidth="1"/>
    <col min="11778" max="11778" width="3" style="89" customWidth="1"/>
    <col min="11779" max="11779" width="3.625" style="89" customWidth="1"/>
    <col min="11780" max="11782" width="12.75" style="89" customWidth="1"/>
    <col min="11783" max="11783" width="6.25" style="89" customWidth="1"/>
    <col min="11784" max="11784" width="49.375" style="89" customWidth="1"/>
    <col min="11785" max="11785" width="1.875" style="89" customWidth="1"/>
    <col min="11786" max="11786" width="1.375" style="89" customWidth="1"/>
    <col min="11787" max="11787" width="1.125" style="89" customWidth="1"/>
    <col min="11788" max="11788" width="12.75" style="89" customWidth="1"/>
    <col min="11789" max="11789" width="18.375" style="89" customWidth="1"/>
    <col min="11790" max="11791" width="21" style="89" customWidth="1"/>
    <col min="11792" max="11793" width="13.375" style="89" customWidth="1"/>
    <col min="11794" max="11794" width="12.75" style="89" customWidth="1"/>
    <col min="11795" max="11795" width="9.125" style="89"/>
    <col min="11796" max="11796" width="9.375" style="89" bestFit="1" customWidth="1"/>
    <col min="11797" max="12032" width="9.125" style="89"/>
    <col min="12033" max="12033" width="29.25" style="89" bestFit="1" customWidth="1"/>
    <col min="12034" max="12034" width="3" style="89" customWidth="1"/>
    <col min="12035" max="12035" width="3.625" style="89" customWidth="1"/>
    <col min="12036" max="12038" width="12.75" style="89" customWidth="1"/>
    <col min="12039" max="12039" width="6.25" style="89" customWidth="1"/>
    <col min="12040" max="12040" width="49.375" style="89" customWidth="1"/>
    <col min="12041" max="12041" width="1.875" style="89" customWidth="1"/>
    <col min="12042" max="12042" width="1.375" style="89" customWidth="1"/>
    <col min="12043" max="12043" width="1.125" style="89" customWidth="1"/>
    <col min="12044" max="12044" width="12.75" style="89" customWidth="1"/>
    <col min="12045" max="12045" width="18.375" style="89" customWidth="1"/>
    <col min="12046" max="12047" width="21" style="89" customWidth="1"/>
    <col min="12048" max="12049" width="13.375" style="89" customWidth="1"/>
    <col min="12050" max="12050" width="12.75" style="89" customWidth="1"/>
    <col min="12051" max="12051" width="9.125" style="89"/>
    <col min="12052" max="12052" width="9.375" style="89" bestFit="1" customWidth="1"/>
    <col min="12053" max="12288" width="9.125" style="89"/>
    <col min="12289" max="12289" width="29.25" style="89" bestFit="1" customWidth="1"/>
    <col min="12290" max="12290" width="3" style="89" customWidth="1"/>
    <col min="12291" max="12291" width="3.625" style="89" customWidth="1"/>
    <col min="12292" max="12294" width="12.75" style="89" customWidth="1"/>
    <col min="12295" max="12295" width="6.25" style="89" customWidth="1"/>
    <col min="12296" max="12296" width="49.375" style="89" customWidth="1"/>
    <col min="12297" max="12297" width="1.875" style="89" customWidth="1"/>
    <col min="12298" max="12298" width="1.375" style="89" customWidth="1"/>
    <col min="12299" max="12299" width="1.125" style="89" customWidth="1"/>
    <col min="12300" max="12300" width="12.75" style="89" customWidth="1"/>
    <col min="12301" max="12301" width="18.375" style="89" customWidth="1"/>
    <col min="12302" max="12303" width="21" style="89" customWidth="1"/>
    <col min="12304" max="12305" width="13.375" style="89" customWidth="1"/>
    <col min="12306" max="12306" width="12.75" style="89" customWidth="1"/>
    <col min="12307" max="12307" width="9.125" style="89"/>
    <col min="12308" max="12308" width="9.375" style="89" bestFit="1" customWidth="1"/>
    <col min="12309" max="12544" width="9.125" style="89"/>
    <col min="12545" max="12545" width="29.25" style="89" bestFit="1" customWidth="1"/>
    <col min="12546" max="12546" width="3" style="89" customWidth="1"/>
    <col min="12547" max="12547" width="3.625" style="89" customWidth="1"/>
    <col min="12548" max="12550" width="12.75" style="89" customWidth="1"/>
    <col min="12551" max="12551" width="6.25" style="89" customWidth="1"/>
    <col min="12552" max="12552" width="49.375" style="89" customWidth="1"/>
    <col min="12553" max="12553" width="1.875" style="89" customWidth="1"/>
    <col min="12554" max="12554" width="1.375" style="89" customWidth="1"/>
    <col min="12555" max="12555" width="1.125" style="89" customWidth="1"/>
    <col min="12556" max="12556" width="12.75" style="89" customWidth="1"/>
    <col min="12557" max="12557" width="18.375" style="89" customWidth="1"/>
    <col min="12558" max="12559" width="21" style="89" customWidth="1"/>
    <col min="12560" max="12561" width="13.375" style="89" customWidth="1"/>
    <col min="12562" max="12562" width="12.75" style="89" customWidth="1"/>
    <col min="12563" max="12563" width="9.125" style="89"/>
    <col min="12564" max="12564" width="9.375" style="89" bestFit="1" customWidth="1"/>
    <col min="12565" max="12800" width="9.125" style="89"/>
    <col min="12801" max="12801" width="29.25" style="89" bestFit="1" customWidth="1"/>
    <col min="12802" max="12802" width="3" style="89" customWidth="1"/>
    <col min="12803" max="12803" width="3.625" style="89" customWidth="1"/>
    <col min="12804" max="12806" width="12.75" style="89" customWidth="1"/>
    <col min="12807" max="12807" width="6.25" style="89" customWidth="1"/>
    <col min="12808" max="12808" width="49.375" style="89" customWidth="1"/>
    <col min="12809" max="12809" width="1.875" style="89" customWidth="1"/>
    <col min="12810" max="12810" width="1.375" style="89" customWidth="1"/>
    <col min="12811" max="12811" width="1.125" style="89" customWidth="1"/>
    <col min="12812" max="12812" width="12.75" style="89" customWidth="1"/>
    <col min="12813" max="12813" width="18.375" style="89" customWidth="1"/>
    <col min="12814" max="12815" width="21" style="89" customWidth="1"/>
    <col min="12816" max="12817" width="13.375" style="89" customWidth="1"/>
    <col min="12818" max="12818" width="12.75" style="89" customWidth="1"/>
    <col min="12819" max="12819" width="9.125" style="89"/>
    <col min="12820" max="12820" width="9.375" style="89" bestFit="1" customWidth="1"/>
    <col min="12821" max="13056" width="9.125" style="89"/>
    <col min="13057" max="13057" width="29.25" style="89" bestFit="1" customWidth="1"/>
    <col min="13058" max="13058" width="3" style="89" customWidth="1"/>
    <col min="13059" max="13059" width="3.625" style="89" customWidth="1"/>
    <col min="13060" max="13062" width="12.75" style="89" customWidth="1"/>
    <col min="13063" max="13063" width="6.25" style="89" customWidth="1"/>
    <col min="13064" max="13064" width="49.375" style="89" customWidth="1"/>
    <col min="13065" max="13065" width="1.875" style="89" customWidth="1"/>
    <col min="13066" max="13066" width="1.375" style="89" customWidth="1"/>
    <col min="13067" max="13067" width="1.125" style="89" customWidth="1"/>
    <col min="13068" max="13068" width="12.75" style="89" customWidth="1"/>
    <col min="13069" max="13069" width="18.375" style="89" customWidth="1"/>
    <col min="13070" max="13071" width="21" style="89" customWidth="1"/>
    <col min="13072" max="13073" width="13.375" style="89" customWidth="1"/>
    <col min="13074" max="13074" width="12.75" style="89" customWidth="1"/>
    <col min="13075" max="13075" width="9.125" style="89"/>
    <col min="13076" max="13076" width="9.375" style="89" bestFit="1" customWidth="1"/>
    <col min="13077" max="13312" width="9.125" style="89"/>
    <col min="13313" max="13313" width="29.25" style="89" bestFit="1" customWidth="1"/>
    <col min="13314" max="13314" width="3" style="89" customWidth="1"/>
    <col min="13315" max="13315" width="3.625" style="89" customWidth="1"/>
    <col min="13316" max="13318" width="12.75" style="89" customWidth="1"/>
    <col min="13319" max="13319" width="6.25" style="89" customWidth="1"/>
    <col min="13320" max="13320" width="49.375" style="89" customWidth="1"/>
    <col min="13321" max="13321" width="1.875" style="89" customWidth="1"/>
    <col min="13322" max="13322" width="1.375" style="89" customWidth="1"/>
    <col min="13323" max="13323" width="1.125" style="89" customWidth="1"/>
    <col min="13324" max="13324" width="12.75" style="89" customWidth="1"/>
    <col min="13325" max="13325" width="18.375" style="89" customWidth="1"/>
    <col min="13326" max="13327" width="21" style="89" customWidth="1"/>
    <col min="13328" max="13329" width="13.375" style="89" customWidth="1"/>
    <col min="13330" max="13330" width="12.75" style="89" customWidth="1"/>
    <col min="13331" max="13331" width="9.125" style="89"/>
    <col min="13332" max="13332" width="9.375" style="89" bestFit="1" customWidth="1"/>
    <col min="13333" max="13568" width="9.125" style="89"/>
    <col min="13569" max="13569" width="29.25" style="89" bestFit="1" customWidth="1"/>
    <col min="13570" max="13570" width="3" style="89" customWidth="1"/>
    <col min="13571" max="13571" width="3.625" style="89" customWidth="1"/>
    <col min="13572" max="13574" width="12.75" style="89" customWidth="1"/>
    <col min="13575" max="13575" width="6.25" style="89" customWidth="1"/>
    <col min="13576" max="13576" width="49.375" style="89" customWidth="1"/>
    <col min="13577" max="13577" width="1.875" style="89" customWidth="1"/>
    <col min="13578" max="13578" width="1.375" style="89" customWidth="1"/>
    <col min="13579" max="13579" width="1.125" style="89" customWidth="1"/>
    <col min="13580" max="13580" width="12.75" style="89" customWidth="1"/>
    <col min="13581" max="13581" width="18.375" style="89" customWidth="1"/>
    <col min="13582" max="13583" width="21" style="89" customWidth="1"/>
    <col min="13584" max="13585" width="13.375" style="89" customWidth="1"/>
    <col min="13586" max="13586" width="12.75" style="89" customWidth="1"/>
    <col min="13587" max="13587" width="9.125" style="89"/>
    <col min="13588" max="13588" width="9.375" style="89" bestFit="1" customWidth="1"/>
    <col min="13589" max="13824" width="9.125" style="89"/>
    <col min="13825" max="13825" width="29.25" style="89" bestFit="1" customWidth="1"/>
    <col min="13826" max="13826" width="3" style="89" customWidth="1"/>
    <col min="13827" max="13827" width="3.625" style="89" customWidth="1"/>
    <col min="13828" max="13830" width="12.75" style="89" customWidth="1"/>
    <col min="13831" max="13831" width="6.25" style="89" customWidth="1"/>
    <col min="13832" max="13832" width="49.375" style="89" customWidth="1"/>
    <col min="13833" max="13833" width="1.875" style="89" customWidth="1"/>
    <col min="13834" max="13834" width="1.375" style="89" customWidth="1"/>
    <col min="13835" max="13835" width="1.125" style="89" customWidth="1"/>
    <col min="13836" max="13836" width="12.75" style="89" customWidth="1"/>
    <col min="13837" max="13837" width="18.375" style="89" customWidth="1"/>
    <col min="13838" max="13839" width="21" style="89" customWidth="1"/>
    <col min="13840" max="13841" width="13.375" style="89" customWidth="1"/>
    <col min="13842" max="13842" width="12.75" style="89" customWidth="1"/>
    <col min="13843" max="13843" width="9.125" style="89"/>
    <col min="13844" max="13844" width="9.375" style="89" bestFit="1" customWidth="1"/>
    <col min="13845" max="14080" width="9.125" style="89"/>
    <col min="14081" max="14081" width="29.25" style="89" bestFit="1" customWidth="1"/>
    <col min="14082" max="14082" width="3" style="89" customWidth="1"/>
    <col min="14083" max="14083" width="3.625" style="89" customWidth="1"/>
    <col min="14084" max="14086" width="12.75" style="89" customWidth="1"/>
    <col min="14087" max="14087" width="6.25" style="89" customWidth="1"/>
    <col min="14088" max="14088" width="49.375" style="89" customWidth="1"/>
    <col min="14089" max="14089" width="1.875" style="89" customWidth="1"/>
    <col min="14090" max="14090" width="1.375" style="89" customWidth="1"/>
    <col min="14091" max="14091" width="1.125" style="89" customWidth="1"/>
    <col min="14092" max="14092" width="12.75" style="89" customWidth="1"/>
    <col min="14093" max="14093" width="18.375" style="89" customWidth="1"/>
    <col min="14094" max="14095" width="21" style="89" customWidth="1"/>
    <col min="14096" max="14097" width="13.375" style="89" customWidth="1"/>
    <col min="14098" max="14098" width="12.75" style="89" customWidth="1"/>
    <col min="14099" max="14099" width="9.125" style="89"/>
    <col min="14100" max="14100" width="9.375" style="89" bestFit="1" customWidth="1"/>
    <col min="14101" max="14336" width="9.125" style="89"/>
    <col min="14337" max="14337" width="29.25" style="89" bestFit="1" customWidth="1"/>
    <col min="14338" max="14338" width="3" style="89" customWidth="1"/>
    <col min="14339" max="14339" width="3.625" style="89" customWidth="1"/>
    <col min="14340" max="14342" width="12.75" style="89" customWidth="1"/>
    <col min="14343" max="14343" width="6.25" style="89" customWidth="1"/>
    <col min="14344" max="14344" width="49.375" style="89" customWidth="1"/>
    <col min="14345" max="14345" width="1.875" style="89" customWidth="1"/>
    <col min="14346" max="14346" width="1.375" style="89" customWidth="1"/>
    <col min="14347" max="14347" width="1.125" style="89" customWidth="1"/>
    <col min="14348" max="14348" width="12.75" style="89" customWidth="1"/>
    <col min="14349" max="14349" width="18.375" style="89" customWidth="1"/>
    <col min="14350" max="14351" width="21" style="89" customWidth="1"/>
    <col min="14352" max="14353" width="13.375" style="89" customWidth="1"/>
    <col min="14354" max="14354" width="12.75" style="89" customWidth="1"/>
    <col min="14355" max="14355" width="9.125" style="89"/>
    <col min="14356" max="14356" width="9.375" style="89" bestFit="1" customWidth="1"/>
    <col min="14357" max="14592" width="9.125" style="89"/>
    <col min="14593" max="14593" width="29.25" style="89" bestFit="1" customWidth="1"/>
    <col min="14594" max="14594" width="3" style="89" customWidth="1"/>
    <col min="14595" max="14595" width="3.625" style="89" customWidth="1"/>
    <col min="14596" max="14598" width="12.75" style="89" customWidth="1"/>
    <col min="14599" max="14599" width="6.25" style="89" customWidth="1"/>
    <col min="14600" max="14600" width="49.375" style="89" customWidth="1"/>
    <col min="14601" max="14601" width="1.875" style="89" customWidth="1"/>
    <col min="14602" max="14602" width="1.375" style="89" customWidth="1"/>
    <col min="14603" max="14603" width="1.125" style="89" customWidth="1"/>
    <col min="14604" max="14604" width="12.75" style="89" customWidth="1"/>
    <col min="14605" max="14605" width="18.375" style="89" customWidth="1"/>
    <col min="14606" max="14607" width="21" style="89" customWidth="1"/>
    <col min="14608" max="14609" width="13.375" style="89" customWidth="1"/>
    <col min="14610" max="14610" width="12.75" style="89" customWidth="1"/>
    <col min="14611" max="14611" width="9.125" style="89"/>
    <col min="14612" max="14612" width="9.375" style="89" bestFit="1" customWidth="1"/>
    <col min="14613" max="14848" width="9.125" style="89"/>
    <col min="14849" max="14849" width="29.25" style="89" bestFit="1" customWidth="1"/>
    <col min="14850" max="14850" width="3" style="89" customWidth="1"/>
    <col min="14851" max="14851" width="3.625" style="89" customWidth="1"/>
    <col min="14852" max="14854" width="12.75" style="89" customWidth="1"/>
    <col min="14855" max="14855" width="6.25" style="89" customWidth="1"/>
    <col min="14856" max="14856" width="49.375" style="89" customWidth="1"/>
    <col min="14857" max="14857" width="1.875" style="89" customWidth="1"/>
    <col min="14858" max="14858" width="1.375" style="89" customWidth="1"/>
    <col min="14859" max="14859" width="1.125" style="89" customWidth="1"/>
    <col min="14860" max="14860" width="12.75" style="89" customWidth="1"/>
    <col min="14861" max="14861" width="18.375" style="89" customWidth="1"/>
    <col min="14862" max="14863" width="21" style="89" customWidth="1"/>
    <col min="14864" max="14865" width="13.375" style="89" customWidth="1"/>
    <col min="14866" max="14866" width="12.75" style="89" customWidth="1"/>
    <col min="14867" max="14867" width="9.125" style="89"/>
    <col min="14868" max="14868" width="9.375" style="89" bestFit="1" customWidth="1"/>
    <col min="14869" max="15104" width="9.125" style="89"/>
    <col min="15105" max="15105" width="29.25" style="89" bestFit="1" customWidth="1"/>
    <col min="15106" max="15106" width="3" style="89" customWidth="1"/>
    <col min="15107" max="15107" width="3.625" style="89" customWidth="1"/>
    <col min="15108" max="15110" width="12.75" style="89" customWidth="1"/>
    <col min="15111" max="15111" width="6.25" style="89" customWidth="1"/>
    <col min="15112" max="15112" width="49.375" style="89" customWidth="1"/>
    <col min="15113" max="15113" width="1.875" style="89" customWidth="1"/>
    <col min="15114" max="15114" width="1.375" style="89" customWidth="1"/>
    <col min="15115" max="15115" width="1.125" style="89" customWidth="1"/>
    <col min="15116" max="15116" width="12.75" style="89" customWidth="1"/>
    <col min="15117" max="15117" width="18.375" style="89" customWidth="1"/>
    <col min="15118" max="15119" width="21" style="89" customWidth="1"/>
    <col min="15120" max="15121" width="13.375" style="89" customWidth="1"/>
    <col min="15122" max="15122" width="12.75" style="89" customWidth="1"/>
    <col min="15123" max="15123" width="9.125" style="89"/>
    <col min="15124" max="15124" width="9.375" style="89" bestFit="1" customWidth="1"/>
    <col min="15125" max="15360" width="9.125" style="89"/>
    <col min="15361" max="15361" width="29.25" style="89" bestFit="1" customWidth="1"/>
    <col min="15362" max="15362" width="3" style="89" customWidth="1"/>
    <col min="15363" max="15363" width="3.625" style="89" customWidth="1"/>
    <col min="15364" max="15366" width="12.75" style="89" customWidth="1"/>
    <col min="15367" max="15367" width="6.25" style="89" customWidth="1"/>
    <col min="15368" max="15368" width="49.375" style="89" customWidth="1"/>
    <col min="15369" max="15369" width="1.875" style="89" customWidth="1"/>
    <col min="15370" max="15370" width="1.375" style="89" customWidth="1"/>
    <col min="15371" max="15371" width="1.125" style="89" customWidth="1"/>
    <col min="15372" max="15372" width="12.75" style="89" customWidth="1"/>
    <col min="15373" max="15373" width="18.375" style="89" customWidth="1"/>
    <col min="15374" max="15375" width="21" style="89" customWidth="1"/>
    <col min="15376" max="15377" width="13.375" style="89" customWidth="1"/>
    <col min="15378" max="15378" width="12.75" style="89" customWidth="1"/>
    <col min="15379" max="15379" width="9.125" style="89"/>
    <col min="15380" max="15380" width="9.375" style="89" bestFit="1" customWidth="1"/>
    <col min="15381" max="15616" width="9.125" style="89"/>
    <col min="15617" max="15617" width="29.25" style="89" bestFit="1" customWidth="1"/>
    <col min="15618" max="15618" width="3" style="89" customWidth="1"/>
    <col min="15619" max="15619" width="3.625" style="89" customWidth="1"/>
    <col min="15620" max="15622" width="12.75" style="89" customWidth="1"/>
    <col min="15623" max="15623" width="6.25" style="89" customWidth="1"/>
    <col min="15624" max="15624" width="49.375" style="89" customWidth="1"/>
    <col min="15625" max="15625" width="1.875" style="89" customWidth="1"/>
    <col min="15626" max="15626" width="1.375" style="89" customWidth="1"/>
    <col min="15627" max="15627" width="1.125" style="89" customWidth="1"/>
    <col min="15628" max="15628" width="12.75" style="89" customWidth="1"/>
    <col min="15629" max="15629" width="18.375" style="89" customWidth="1"/>
    <col min="15630" max="15631" width="21" style="89" customWidth="1"/>
    <col min="15632" max="15633" width="13.375" style="89" customWidth="1"/>
    <col min="15634" max="15634" width="12.75" style="89" customWidth="1"/>
    <col min="15635" max="15635" width="9.125" style="89"/>
    <col min="15636" max="15636" width="9.375" style="89" bestFit="1" customWidth="1"/>
    <col min="15637" max="15872" width="9.125" style="89"/>
    <col min="15873" max="15873" width="29.25" style="89" bestFit="1" customWidth="1"/>
    <col min="15874" max="15874" width="3" style="89" customWidth="1"/>
    <col min="15875" max="15875" width="3.625" style="89" customWidth="1"/>
    <col min="15876" max="15878" width="12.75" style="89" customWidth="1"/>
    <col min="15879" max="15879" width="6.25" style="89" customWidth="1"/>
    <col min="15880" max="15880" width="49.375" style="89" customWidth="1"/>
    <col min="15881" max="15881" width="1.875" style="89" customWidth="1"/>
    <col min="15882" max="15882" width="1.375" style="89" customWidth="1"/>
    <col min="15883" max="15883" width="1.125" style="89" customWidth="1"/>
    <col min="15884" max="15884" width="12.75" style="89" customWidth="1"/>
    <col min="15885" max="15885" width="18.375" style="89" customWidth="1"/>
    <col min="15886" max="15887" width="21" style="89" customWidth="1"/>
    <col min="15888" max="15889" width="13.375" style="89" customWidth="1"/>
    <col min="15890" max="15890" width="12.75" style="89" customWidth="1"/>
    <col min="15891" max="15891" width="9.125" style="89"/>
    <col min="15892" max="15892" width="9.375" style="89" bestFit="1" customWidth="1"/>
    <col min="15893" max="16128" width="9.125" style="89"/>
    <col min="16129" max="16129" width="29.25" style="89" bestFit="1" customWidth="1"/>
    <col min="16130" max="16130" width="3" style="89" customWidth="1"/>
    <col min="16131" max="16131" width="3.625" style="89" customWidth="1"/>
    <col min="16132" max="16134" width="12.75" style="89" customWidth="1"/>
    <col min="16135" max="16135" width="6.25" style="89" customWidth="1"/>
    <col min="16136" max="16136" width="49.375" style="89" customWidth="1"/>
    <col min="16137" max="16137" width="1.875" style="89" customWidth="1"/>
    <col min="16138" max="16138" width="1.375" style="89" customWidth="1"/>
    <col min="16139" max="16139" width="1.125" style="89" customWidth="1"/>
    <col min="16140" max="16140" width="12.75" style="89" customWidth="1"/>
    <col min="16141" max="16141" width="18.375" style="89" customWidth="1"/>
    <col min="16142" max="16143" width="21" style="89" customWidth="1"/>
    <col min="16144" max="16145" width="13.375" style="89" customWidth="1"/>
    <col min="16146" max="16146" width="12.75" style="89" customWidth="1"/>
    <col min="16147" max="16147" width="9.125" style="89"/>
    <col min="16148" max="16148" width="9.375" style="89" bestFit="1" customWidth="1"/>
    <col min="16149" max="16384" width="9.125" style="89"/>
  </cols>
  <sheetData>
    <row r="2" spans="2:29" ht="15" x14ac:dyDescent="0.3">
      <c r="B2" s="89" t="s">
        <v>930</v>
      </c>
      <c r="W2" s="89"/>
      <c r="X2" s="89"/>
      <c r="Y2" s="89"/>
      <c r="Z2" s="89"/>
      <c r="AA2" s="89"/>
      <c r="AB2" s="89"/>
      <c r="AC2" s="89"/>
    </row>
    <row r="3" spans="2:29" ht="15" x14ac:dyDescent="0.3">
      <c r="B3" s="92" t="s">
        <v>980</v>
      </c>
      <c r="W3" s="89"/>
      <c r="X3" s="89"/>
      <c r="Y3" s="89"/>
      <c r="Z3" s="89"/>
      <c r="AA3" s="89"/>
      <c r="AB3" s="89"/>
      <c r="AC3" s="89"/>
    </row>
    <row r="4" spans="2:29" ht="15" x14ac:dyDescent="0.3">
      <c r="B4" s="89" t="s">
        <v>931</v>
      </c>
      <c r="R4" s="93"/>
      <c r="W4" s="89"/>
      <c r="X4" s="89"/>
      <c r="Y4" s="89"/>
      <c r="Z4" s="89"/>
      <c r="AA4" s="89"/>
      <c r="AB4" s="89"/>
      <c r="AC4" s="89"/>
    </row>
    <row r="5" spans="2:29" ht="15" x14ac:dyDescent="0.3">
      <c r="N5" s="93"/>
      <c r="O5" s="93"/>
      <c r="P5" s="93"/>
      <c r="Q5" s="94"/>
      <c r="R5" s="95"/>
      <c r="W5" s="89"/>
      <c r="X5" s="89"/>
      <c r="Y5" s="89"/>
      <c r="Z5" s="89"/>
      <c r="AA5" s="89"/>
      <c r="AB5" s="89"/>
      <c r="AC5" s="89"/>
    </row>
    <row r="6" spans="2:29" thickBot="1" x14ac:dyDescent="0.35">
      <c r="B6" s="96"/>
      <c r="C6" s="96"/>
      <c r="D6" s="97"/>
      <c r="E6" s="98">
        <v>42004</v>
      </c>
      <c r="F6" s="98">
        <v>41639</v>
      </c>
      <c r="G6" s="99" t="s">
        <v>932</v>
      </c>
      <c r="I6" s="93"/>
      <c r="J6" s="93"/>
      <c r="K6" s="93"/>
      <c r="L6" s="93"/>
      <c r="M6" s="100" t="s">
        <v>933</v>
      </c>
      <c r="N6" s="100" t="s">
        <v>934</v>
      </c>
      <c r="O6" s="100" t="s">
        <v>935</v>
      </c>
      <c r="P6" s="100" t="s">
        <v>936</v>
      </c>
      <c r="Q6" s="101" t="s">
        <v>937</v>
      </c>
      <c r="R6" s="102" t="s">
        <v>938</v>
      </c>
      <c r="W6" s="89"/>
      <c r="X6" s="89"/>
      <c r="Y6" s="89"/>
      <c r="Z6" s="89"/>
      <c r="AA6" s="89"/>
      <c r="AB6" s="89"/>
      <c r="AC6" s="89"/>
    </row>
    <row r="7" spans="2:29" ht="15" x14ac:dyDescent="0.3">
      <c r="B7" s="103"/>
      <c r="C7" s="103"/>
      <c r="D7" s="104"/>
      <c r="E7" s="103"/>
      <c r="F7" s="103"/>
      <c r="G7" s="105"/>
      <c r="I7" s="106" t="s">
        <v>939</v>
      </c>
      <c r="J7" s="107"/>
      <c r="K7" s="107"/>
      <c r="L7" s="107"/>
      <c r="M7" s="108"/>
      <c r="N7" s="108"/>
      <c r="O7" s="108"/>
      <c r="P7" s="108"/>
      <c r="Q7" s="108"/>
      <c r="R7" s="109"/>
      <c r="T7" s="110"/>
      <c r="W7" s="89"/>
      <c r="X7" s="89"/>
      <c r="Y7" s="89"/>
      <c r="Z7" s="89"/>
      <c r="AA7" s="89"/>
      <c r="AB7" s="89"/>
      <c r="AC7" s="89"/>
    </row>
    <row r="8" spans="2:29" ht="15" x14ac:dyDescent="0.3">
      <c r="B8" s="103" t="s">
        <v>373</v>
      </c>
      <c r="C8" s="103"/>
      <c r="D8" s="104"/>
      <c r="E8" s="111">
        <f ca="1">'situazione patrimoniale finanzi'!E21</f>
        <v>1269251.43</v>
      </c>
      <c r="F8" s="111">
        <f>'situazione patrimoniale finanzi'!F21</f>
        <v>543540.46</v>
      </c>
      <c r="G8" s="111">
        <f t="shared" ref="G8" ca="1" si="0">+F8-E8</f>
        <v>-725710.97</v>
      </c>
      <c r="I8" s="112"/>
      <c r="J8" s="113"/>
      <c r="K8" s="113"/>
      <c r="L8" s="113"/>
      <c r="M8" s="114"/>
      <c r="N8" s="114"/>
      <c r="O8" s="114"/>
      <c r="P8" s="114"/>
      <c r="Q8" s="114"/>
      <c r="R8" s="115"/>
      <c r="W8" s="89"/>
      <c r="X8" s="89"/>
      <c r="Y8" s="89"/>
      <c r="Z8" s="89"/>
      <c r="AA8" s="89"/>
      <c r="AB8" s="89"/>
      <c r="AC8" s="89"/>
    </row>
    <row r="9" spans="2:29" ht="15" x14ac:dyDescent="0.3">
      <c r="B9" s="103"/>
      <c r="C9" s="103"/>
      <c r="D9" s="104"/>
      <c r="E9" s="116"/>
      <c r="F9" s="116"/>
      <c r="G9" s="111"/>
      <c r="I9" s="117" t="s">
        <v>940</v>
      </c>
      <c r="J9" s="118"/>
      <c r="K9" s="118"/>
      <c r="L9" s="118"/>
      <c r="M9" s="118"/>
      <c r="N9" s="118"/>
      <c r="O9" s="118"/>
      <c r="P9" s="118"/>
      <c r="Q9" s="118"/>
      <c r="R9" s="119"/>
      <c r="W9" s="89"/>
      <c r="X9" s="89"/>
      <c r="Y9" s="89"/>
      <c r="Z9" s="89"/>
      <c r="AA9" s="89"/>
      <c r="AB9" s="89"/>
      <c r="AC9" s="89"/>
    </row>
    <row r="10" spans="2:29" ht="15" x14ac:dyDescent="0.3">
      <c r="B10" s="120" t="s">
        <v>941</v>
      </c>
      <c r="C10" s="103"/>
      <c r="D10" s="104"/>
      <c r="E10" s="121">
        <f ca="1">SUM(E8:E9)</f>
        <v>1269251.43</v>
      </c>
      <c r="F10" s="121">
        <f>SUM(F8:F9)</f>
        <v>543540.46</v>
      </c>
      <c r="G10" s="121">
        <f ca="1">+F10-E10</f>
        <v>-725710.97</v>
      </c>
      <c r="I10" s="122" t="s">
        <v>942</v>
      </c>
      <c r="J10" s="123"/>
      <c r="K10" s="123"/>
      <c r="L10" s="123"/>
      <c r="M10" s="123">
        <f>E46</f>
        <v>-200738.04368493997</v>
      </c>
      <c r="N10" s="123"/>
      <c r="O10" s="123"/>
      <c r="P10" s="123"/>
      <c r="Q10" s="123"/>
      <c r="R10" s="119">
        <f t="shared" ref="R10:R15" si="1">SUM(M10:Q10)</f>
        <v>-200738.04368493997</v>
      </c>
      <c r="W10" s="89"/>
      <c r="X10" s="89"/>
      <c r="Y10" s="89"/>
      <c r="Z10" s="89"/>
      <c r="AA10" s="89"/>
      <c r="AB10" s="89"/>
      <c r="AC10" s="89"/>
    </row>
    <row r="11" spans="2:29" ht="15" x14ac:dyDescent="0.3">
      <c r="B11" s="103"/>
      <c r="C11" s="103"/>
      <c r="D11" s="104"/>
      <c r="E11" s="111"/>
      <c r="F11" s="111"/>
      <c r="G11" s="111"/>
      <c r="I11" s="122" t="s">
        <v>943</v>
      </c>
      <c r="J11" s="123"/>
      <c r="K11" s="123"/>
      <c r="L11" s="123"/>
      <c r="M11" s="123"/>
      <c r="N11" s="123"/>
      <c r="O11" s="123"/>
      <c r="P11" s="123"/>
      <c r="Q11" s="123"/>
      <c r="R11" s="119">
        <f t="shared" si="1"/>
        <v>0</v>
      </c>
      <c r="W11" s="89"/>
      <c r="X11" s="89"/>
      <c r="Y11" s="89"/>
      <c r="Z11" s="89"/>
      <c r="AA11" s="89"/>
      <c r="AB11" s="89"/>
      <c r="AC11" s="89"/>
    </row>
    <row r="12" spans="2:29" ht="15" x14ac:dyDescent="0.3">
      <c r="B12" s="103" t="s">
        <v>59</v>
      </c>
      <c r="C12" s="103"/>
      <c r="D12" s="104"/>
      <c r="E12" s="111">
        <f ca="1">'situazione patrimoniale finanzi'!E18</f>
        <v>8833620.6700000018</v>
      </c>
      <c r="F12" s="111">
        <f>'situazione patrimoniale finanzi'!F18</f>
        <v>8467642.8500000015</v>
      </c>
      <c r="G12" s="111">
        <f t="shared" ref="G12:G23" ca="1" si="2">+F12-E12</f>
        <v>-365977.8200000003</v>
      </c>
      <c r="I12" s="122" t="s">
        <v>944</v>
      </c>
      <c r="J12" s="123"/>
      <c r="K12" s="123"/>
      <c r="L12" s="123"/>
      <c r="M12" s="123">
        <f>+DATA!N519+DATA!N520+DATA!N521+DATA!N522+DATA!N526+DATA!N527</f>
        <v>686486.68075037387</v>
      </c>
      <c r="N12" s="123"/>
      <c r="O12" s="123"/>
      <c r="P12" s="123"/>
      <c r="Q12" s="123"/>
      <c r="R12" s="119">
        <f t="shared" si="1"/>
        <v>686486.68075037387</v>
      </c>
      <c r="W12" s="89"/>
      <c r="X12" s="89"/>
      <c r="Y12" s="89"/>
      <c r="Z12" s="89"/>
      <c r="AA12" s="89"/>
      <c r="AB12" s="89"/>
      <c r="AC12" s="89"/>
    </row>
    <row r="13" spans="2:29" ht="15" x14ac:dyDescent="0.3">
      <c r="B13" s="103" t="s">
        <v>299</v>
      </c>
      <c r="C13" s="103"/>
      <c r="D13" s="104"/>
      <c r="E13" s="111">
        <f ca="1">'situazione patrimoniale finanzi'!E17</f>
        <v>7168971</v>
      </c>
      <c r="F13" s="111">
        <f>'situazione patrimoniale finanzi'!F17</f>
        <v>6776070</v>
      </c>
      <c r="G13" s="111">
        <f t="shared" ca="1" si="2"/>
        <v>-392901</v>
      </c>
      <c r="I13" s="122" t="s">
        <v>1315</v>
      </c>
      <c r="J13" s="123"/>
      <c r="K13" s="123"/>
      <c r="L13" s="123"/>
      <c r="M13" s="123">
        <f>+DATA!N523+DATA!N525</f>
        <v>4294.5499999999884</v>
      </c>
      <c r="N13" s="123"/>
      <c r="O13" s="123"/>
      <c r="P13" s="123"/>
      <c r="Q13" s="123"/>
      <c r="R13" s="119">
        <f t="shared" si="1"/>
        <v>4294.5499999999884</v>
      </c>
      <c r="W13" s="89"/>
      <c r="X13" s="89"/>
      <c r="Y13" s="89"/>
      <c r="Z13" s="89"/>
      <c r="AA13" s="89"/>
      <c r="AB13" s="89"/>
      <c r="AC13" s="89"/>
    </row>
    <row r="14" spans="2:29" ht="15" x14ac:dyDescent="0.3">
      <c r="B14" s="103" t="s">
        <v>924</v>
      </c>
      <c r="C14" s="103"/>
      <c r="D14" s="104"/>
      <c r="E14" s="111">
        <f ca="1">'situazione patrimoniale finanzi'!E20+'situazione patrimoniale finanzi'!E19-E20</f>
        <v>1843013.9699999993</v>
      </c>
      <c r="F14" s="111">
        <f>'situazione patrimoniale finanzi'!F20+'situazione patrimoniale finanzi'!F19-F20</f>
        <v>1493481.26</v>
      </c>
      <c r="G14" s="111">
        <f t="shared" ca="1" si="2"/>
        <v>-349532.70999999926</v>
      </c>
      <c r="I14" s="122" t="s">
        <v>1374</v>
      </c>
      <c r="J14" s="123"/>
      <c r="K14" s="123"/>
      <c r="L14" s="123"/>
      <c r="M14" s="123">
        <v>-13777</v>
      </c>
      <c r="N14" s="123"/>
      <c r="O14" s="123"/>
      <c r="P14" s="123"/>
      <c r="Q14" s="123"/>
      <c r="R14" s="119">
        <f t="shared" si="1"/>
        <v>-13777</v>
      </c>
      <c r="W14" s="89"/>
      <c r="X14" s="89"/>
      <c r="Y14" s="89"/>
      <c r="Z14" s="89"/>
      <c r="AA14" s="89"/>
      <c r="AB14" s="89"/>
      <c r="AC14" s="89"/>
    </row>
    <row r="15" spans="2:29" ht="15" x14ac:dyDescent="0.3">
      <c r="B15" s="103"/>
      <c r="C15" s="103"/>
      <c r="D15" s="104"/>
      <c r="E15" s="111"/>
      <c r="F15" s="111"/>
      <c r="G15" s="111"/>
      <c r="I15" s="122" t="s">
        <v>945</v>
      </c>
      <c r="J15" s="123"/>
      <c r="K15" s="123"/>
      <c r="L15" s="123"/>
      <c r="M15" s="123"/>
      <c r="N15" s="123"/>
      <c r="O15" s="123"/>
      <c r="P15" s="123"/>
      <c r="Q15" s="123"/>
      <c r="R15" s="119">
        <f t="shared" si="1"/>
        <v>0</v>
      </c>
      <c r="W15" s="89"/>
      <c r="X15" s="89"/>
      <c r="Y15" s="89"/>
      <c r="Z15" s="89"/>
      <c r="AA15" s="89"/>
      <c r="AB15" s="89"/>
      <c r="AC15" s="89"/>
    </row>
    <row r="16" spans="2:29" ht="15" x14ac:dyDescent="0.3">
      <c r="B16" s="103" t="s">
        <v>946</v>
      </c>
      <c r="C16" s="103"/>
      <c r="D16" s="104"/>
      <c r="E16" s="111">
        <f ca="1">'situazione patrimoniale finanzi'!E11+'situazione patrimoniale finanzi'!E10</f>
        <v>17230107.239249624</v>
      </c>
      <c r="F16" s="111">
        <f>'situazione patrimoniale finanzi'!F11+'situazione patrimoniale finanzi'!F10</f>
        <v>15454036.870000003</v>
      </c>
      <c r="G16" s="111">
        <f t="shared" ca="1" si="2"/>
        <v>-1776070.3692496214</v>
      </c>
      <c r="I16" s="122"/>
      <c r="J16" s="123"/>
      <c r="K16" s="123"/>
      <c r="L16" s="123"/>
      <c r="M16" s="123"/>
      <c r="N16" s="123"/>
      <c r="O16" s="123"/>
      <c r="P16" s="123"/>
      <c r="Q16" s="123"/>
      <c r="R16" s="119"/>
      <c r="W16" s="89"/>
      <c r="X16" s="89"/>
      <c r="Y16" s="89"/>
      <c r="Z16" s="89"/>
      <c r="AA16" s="89"/>
      <c r="AB16" s="89"/>
      <c r="AC16" s="89"/>
    </row>
    <row r="17" spans="1:29" ht="15" x14ac:dyDescent="0.3">
      <c r="B17" s="103" t="s">
        <v>947</v>
      </c>
      <c r="C17" s="103"/>
      <c r="D17" s="104"/>
      <c r="E17" s="111"/>
      <c r="F17" s="111"/>
      <c r="G17" s="111">
        <f t="shared" si="2"/>
        <v>0</v>
      </c>
      <c r="I17" s="122"/>
      <c r="J17" s="123"/>
      <c r="K17" s="123"/>
      <c r="L17" s="123"/>
      <c r="M17" s="123"/>
      <c r="N17" s="123"/>
      <c r="O17" s="123"/>
      <c r="P17" s="123"/>
      <c r="Q17" s="123"/>
      <c r="R17" s="119"/>
      <c r="W17" s="89"/>
      <c r="X17" s="89"/>
      <c r="Y17" s="89"/>
      <c r="Z17" s="89"/>
      <c r="AA17" s="89"/>
      <c r="AB17" s="89"/>
      <c r="AC17" s="89"/>
    </row>
    <row r="18" spans="1:29" ht="15" x14ac:dyDescent="0.3">
      <c r="B18" s="103" t="s">
        <v>52</v>
      </c>
      <c r="C18" s="103"/>
      <c r="D18" s="104"/>
      <c r="E18" s="111">
        <f ca="1">'situazione patrimoniale finanzi'!E9</f>
        <v>18733</v>
      </c>
      <c r="F18" s="111">
        <f>'situazione patrimoniale finanzi'!F9</f>
        <v>24938.739999999998</v>
      </c>
      <c r="G18" s="111">
        <f t="shared" ca="1" si="2"/>
        <v>6205.739999999998</v>
      </c>
      <c r="I18" s="122" t="s">
        <v>948</v>
      </c>
      <c r="J18" s="123"/>
      <c r="K18" s="123"/>
      <c r="L18" s="123"/>
      <c r="M18" s="123"/>
      <c r="N18" s="123"/>
      <c r="O18" s="123"/>
      <c r="P18" s="123"/>
      <c r="Q18" s="123"/>
      <c r="R18" s="119">
        <f t="shared" ref="R18:R26" si="3">SUM(M18:Q18)</f>
        <v>0</v>
      </c>
      <c r="W18" s="89"/>
      <c r="X18" s="89"/>
      <c r="Y18" s="89"/>
      <c r="Z18" s="89"/>
      <c r="AA18" s="89"/>
      <c r="AB18" s="89"/>
      <c r="AC18" s="89"/>
    </row>
    <row r="19" spans="1:29" ht="15" x14ac:dyDescent="0.3">
      <c r="B19" s="103" t="s">
        <v>54</v>
      </c>
      <c r="C19" s="103"/>
      <c r="D19" s="104"/>
      <c r="E19" s="111">
        <f ca="1">'situazione patrimoniale finanzi'!E12</f>
        <v>5704</v>
      </c>
      <c r="F19" s="111">
        <f>'situazione patrimoniale finanzi'!F12</f>
        <v>5454</v>
      </c>
      <c r="G19" s="111">
        <f t="shared" ca="1" si="2"/>
        <v>-250</v>
      </c>
      <c r="I19" s="122" t="s">
        <v>949</v>
      </c>
      <c r="J19" s="123"/>
      <c r="K19" s="123"/>
      <c r="L19" s="123"/>
      <c r="M19" s="123">
        <f ca="1">+G12</f>
        <v>-365977.8200000003</v>
      </c>
      <c r="N19" s="123"/>
      <c r="O19" s="123"/>
      <c r="P19" s="123"/>
      <c r="Q19" s="123"/>
      <c r="R19" s="119">
        <f t="shared" ca="1" si="3"/>
        <v>-365977.8200000003</v>
      </c>
      <c r="W19" s="89"/>
      <c r="X19" s="89"/>
      <c r="Y19" s="89"/>
      <c r="Z19" s="89"/>
      <c r="AA19" s="89"/>
      <c r="AB19" s="89"/>
      <c r="AC19" s="89"/>
    </row>
    <row r="20" spans="1:29" ht="15" x14ac:dyDescent="0.3">
      <c r="A20" s="89" t="s">
        <v>918</v>
      </c>
      <c r="B20" s="103" t="s">
        <v>950</v>
      </c>
      <c r="C20" s="103"/>
      <c r="D20" s="104"/>
      <c r="E20" s="111">
        <f>SUMIF(DATA!R:R,A20,DATA!N:N)</f>
        <v>937358.81</v>
      </c>
      <c r="F20" s="111">
        <f>SUMIF(DATA!R:R,A20,DATA!M:M)</f>
        <v>912229.36999999988</v>
      </c>
      <c r="G20" s="111">
        <f t="shared" si="2"/>
        <v>-25129.440000000177</v>
      </c>
      <c r="I20" s="122" t="s">
        <v>951</v>
      </c>
      <c r="J20" s="123"/>
      <c r="K20" s="123"/>
      <c r="L20" s="123"/>
      <c r="M20" s="123">
        <f ca="1">+G13</f>
        <v>-392901</v>
      </c>
      <c r="N20" s="123"/>
      <c r="O20" s="123"/>
      <c r="P20" s="123"/>
      <c r="Q20" s="123"/>
      <c r="R20" s="119">
        <f t="shared" ca="1" si="3"/>
        <v>-392901</v>
      </c>
      <c r="W20" s="89"/>
      <c r="X20" s="89"/>
      <c r="Y20" s="89"/>
      <c r="Z20" s="89"/>
      <c r="AA20" s="89"/>
      <c r="AB20" s="89"/>
      <c r="AC20" s="89"/>
    </row>
    <row r="21" spans="1:29" ht="15" x14ac:dyDescent="0.3">
      <c r="B21" s="103" t="s">
        <v>854</v>
      </c>
      <c r="C21" s="103"/>
      <c r="D21" s="104"/>
      <c r="E21" s="111">
        <f ca="1">'situazione patrimoniale finanzi'!E14</f>
        <v>3519.58</v>
      </c>
      <c r="F21" s="111">
        <f>'situazione patrimoniale finanzi'!F14</f>
        <v>3432.32</v>
      </c>
      <c r="G21" s="111">
        <f t="shared" ca="1" si="2"/>
        <v>-87.259999999999764</v>
      </c>
      <c r="I21" s="122" t="s">
        <v>952</v>
      </c>
      <c r="J21" s="123"/>
      <c r="K21" s="123"/>
      <c r="L21" s="123"/>
      <c r="M21" s="123">
        <f ca="1">+G33</f>
        <v>2043513.0899999999</v>
      </c>
      <c r="N21" s="123"/>
      <c r="O21" s="123"/>
      <c r="P21" s="123"/>
      <c r="Q21" s="123"/>
      <c r="R21" s="119">
        <f t="shared" ca="1" si="3"/>
        <v>2043513.0899999999</v>
      </c>
      <c r="W21" s="89"/>
      <c r="X21" s="89"/>
      <c r="Y21" s="89"/>
      <c r="Z21" s="89"/>
      <c r="AA21" s="89"/>
      <c r="AB21" s="89"/>
      <c r="AC21" s="89"/>
    </row>
    <row r="22" spans="1:29" ht="15" x14ac:dyDescent="0.3">
      <c r="B22" s="103" t="s">
        <v>178</v>
      </c>
      <c r="C22" s="103"/>
      <c r="D22" s="104"/>
      <c r="E22" s="111">
        <f ca="1">'situazione patrimoniale finanzi'!E13</f>
        <v>388816.31455799326</v>
      </c>
      <c r="F22" s="111">
        <f>'situazione patrimoniale finanzi'!F13</f>
        <v>340574.08806714497</v>
      </c>
      <c r="G22" s="111">
        <f t="shared" ca="1" si="2"/>
        <v>-48242.22649084829</v>
      </c>
      <c r="I22" s="122" t="s">
        <v>953</v>
      </c>
      <c r="J22" s="123"/>
      <c r="K22" s="123"/>
      <c r="L22" s="123"/>
      <c r="M22" s="123">
        <f ca="1">G36+G37+G22+G35+G21+5711</f>
        <v>-248975.06706545973</v>
      </c>
      <c r="N22" s="123"/>
      <c r="O22" s="123"/>
      <c r="P22" s="123"/>
      <c r="Q22" s="123"/>
      <c r="R22" s="119">
        <f t="shared" ca="1" si="3"/>
        <v>-248975.06706545973</v>
      </c>
      <c r="W22" s="89"/>
      <c r="X22" s="89"/>
      <c r="Y22" s="89"/>
      <c r="Z22" s="89"/>
      <c r="AA22" s="89"/>
      <c r="AB22" s="89"/>
      <c r="AC22" s="89"/>
    </row>
    <row r="23" spans="1:29" ht="15" x14ac:dyDescent="0.3">
      <c r="B23" s="103"/>
      <c r="C23" s="103"/>
      <c r="D23" s="104"/>
      <c r="E23" s="116"/>
      <c r="F23" s="116"/>
      <c r="G23" s="111">
        <f t="shared" si="2"/>
        <v>0</v>
      </c>
      <c r="I23" s="122" t="s">
        <v>954</v>
      </c>
      <c r="J23" s="123"/>
      <c r="K23" s="123"/>
      <c r="L23" s="123"/>
      <c r="M23" s="123">
        <f ca="1">+G39</f>
        <v>83710.75</v>
      </c>
      <c r="N23" s="123"/>
      <c r="O23" s="123"/>
      <c r="P23" s="123"/>
      <c r="Q23" s="123"/>
      <c r="R23" s="119">
        <f t="shared" ca="1" si="3"/>
        <v>83710.75</v>
      </c>
      <c r="W23" s="89"/>
      <c r="X23" s="89"/>
      <c r="Y23" s="89"/>
      <c r="Z23" s="89"/>
      <c r="AA23" s="89"/>
      <c r="AB23" s="89"/>
      <c r="AC23" s="89"/>
    </row>
    <row r="24" spans="1:29" thickBot="1" x14ac:dyDescent="0.35">
      <c r="B24" s="103"/>
      <c r="C24" s="103"/>
      <c r="D24" s="104"/>
      <c r="E24" s="124">
        <f ca="1">SUM(E10:E23)</f>
        <v>37699096.013807617</v>
      </c>
      <c r="F24" s="124">
        <f>SUM(F10:F23)</f>
        <v>34021399.958067149</v>
      </c>
      <c r="G24" s="124">
        <f ca="1">SUM(G10:G23)</f>
        <v>-3677696.0557404687</v>
      </c>
      <c r="I24" s="122" t="s">
        <v>955</v>
      </c>
      <c r="J24" s="123"/>
      <c r="K24" s="123"/>
      <c r="L24" s="123"/>
      <c r="M24" s="123">
        <f ca="1">+G40</f>
        <v>-13040.189999999973</v>
      </c>
      <c r="N24" s="123"/>
      <c r="O24" s="123"/>
      <c r="P24" s="123"/>
      <c r="Q24" s="123"/>
      <c r="R24" s="119">
        <f t="shared" ca="1" si="3"/>
        <v>-13040.189999999973</v>
      </c>
      <c r="W24" s="89"/>
      <c r="X24" s="89"/>
      <c r="Y24" s="89"/>
      <c r="Z24" s="89"/>
      <c r="AA24" s="89"/>
      <c r="AB24" s="89"/>
      <c r="AC24" s="89"/>
    </row>
    <row r="25" spans="1:29" thickTop="1" x14ac:dyDescent="0.3">
      <c r="B25" s="103"/>
      <c r="C25" s="103"/>
      <c r="D25" s="104"/>
      <c r="E25" s="111">
        <f ca="1">+E24-E9</f>
        <v>37699096.013807617</v>
      </c>
      <c r="F25" s="111">
        <f>+F24-F9</f>
        <v>34021399.958067149</v>
      </c>
      <c r="G25" s="111"/>
      <c r="I25" s="122" t="s">
        <v>1091</v>
      </c>
      <c r="J25" s="123"/>
      <c r="K25" s="123"/>
      <c r="L25" s="123"/>
      <c r="M25" s="123">
        <f ca="1">G14+1</f>
        <v>-349531.70999999926</v>
      </c>
      <c r="N25" s="123"/>
      <c r="O25" s="123"/>
      <c r="P25" s="123"/>
      <c r="Q25" s="123"/>
      <c r="R25" s="119">
        <f t="shared" ca="1" si="3"/>
        <v>-349531.70999999926</v>
      </c>
      <c r="W25" s="89"/>
      <c r="X25" s="89"/>
      <c r="Y25" s="89"/>
      <c r="Z25" s="89"/>
      <c r="AA25" s="89"/>
      <c r="AB25" s="89"/>
      <c r="AC25" s="89"/>
    </row>
    <row r="26" spans="1:29" ht="15" x14ac:dyDescent="0.3">
      <c r="B26" s="103"/>
      <c r="C26" s="103"/>
      <c r="D26" s="104"/>
      <c r="E26" s="125"/>
      <c r="F26" s="125"/>
      <c r="G26" s="125"/>
      <c r="I26" s="122"/>
      <c r="J26" s="123"/>
      <c r="K26" s="123"/>
      <c r="L26" s="123"/>
      <c r="M26" s="123"/>
      <c r="N26" s="123"/>
      <c r="O26" s="123"/>
      <c r="P26" s="123"/>
      <c r="Q26" s="123"/>
      <c r="R26" s="119">
        <f t="shared" si="3"/>
        <v>0</v>
      </c>
      <c r="W26" s="89"/>
      <c r="X26" s="89"/>
      <c r="Y26" s="89"/>
      <c r="Z26" s="89"/>
      <c r="AA26" s="89"/>
      <c r="AB26" s="89"/>
      <c r="AC26" s="89"/>
    </row>
    <row r="27" spans="1:29" ht="15" x14ac:dyDescent="0.3">
      <c r="B27" s="105"/>
      <c r="C27" s="105"/>
      <c r="D27" s="126"/>
      <c r="E27" s="98">
        <v>42004</v>
      </c>
      <c r="F27" s="98">
        <v>41639</v>
      </c>
      <c r="G27" s="99" t="s">
        <v>932</v>
      </c>
      <c r="I27" s="122"/>
      <c r="J27" s="123"/>
      <c r="K27" s="123"/>
      <c r="L27" s="123"/>
      <c r="M27" s="123"/>
      <c r="N27" s="123"/>
      <c r="O27" s="123"/>
      <c r="P27" s="123"/>
      <c r="Q27" s="123"/>
      <c r="R27" s="119"/>
      <c r="W27" s="89"/>
      <c r="X27" s="89"/>
      <c r="Y27" s="89"/>
      <c r="Z27" s="89"/>
      <c r="AA27" s="89"/>
      <c r="AB27" s="89"/>
      <c r="AC27" s="89"/>
    </row>
    <row r="28" spans="1:29" ht="15" x14ac:dyDescent="0.3">
      <c r="B28" s="105"/>
      <c r="C28" s="105"/>
      <c r="D28" s="126"/>
      <c r="E28" s="127"/>
      <c r="F28" s="127"/>
      <c r="G28" s="111"/>
      <c r="I28" s="128"/>
      <c r="J28" s="129"/>
      <c r="K28" s="129"/>
      <c r="L28" s="130" t="s">
        <v>957</v>
      </c>
      <c r="M28" s="129">
        <f ca="1">SUM(M10:M27)</f>
        <v>1233064.2399999746</v>
      </c>
      <c r="N28" s="129"/>
      <c r="O28" s="129"/>
      <c r="P28" s="129"/>
      <c r="Q28" s="129"/>
      <c r="R28" s="131">
        <f ca="1">SUM(R10:R27)</f>
        <v>1233064.2399999746</v>
      </c>
      <c r="W28" s="89"/>
      <c r="X28" s="89"/>
      <c r="Y28" s="89"/>
      <c r="Z28" s="89"/>
      <c r="AA28" s="89"/>
      <c r="AB28" s="89"/>
      <c r="AC28" s="89"/>
    </row>
    <row r="29" spans="1:29" ht="15" x14ac:dyDescent="0.3">
      <c r="B29" s="105" t="s">
        <v>956</v>
      </c>
      <c r="C29" s="105"/>
      <c r="D29" s="105"/>
      <c r="E29" s="111"/>
      <c r="F29" s="111"/>
      <c r="G29" s="111">
        <f>+E29-F29</f>
        <v>0</v>
      </c>
      <c r="I29" s="122"/>
      <c r="J29" s="123"/>
      <c r="K29" s="123"/>
      <c r="L29" s="123"/>
      <c r="M29" s="123"/>
      <c r="N29" s="123"/>
      <c r="O29" s="123"/>
      <c r="P29" s="123"/>
      <c r="Q29" s="123"/>
      <c r="R29" s="132"/>
      <c r="W29" s="89"/>
      <c r="X29" s="89"/>
      <c r="Y29" s="89"/>
      <c r="Z29" s="89"/>
      <c r="AA29" s="89"/>
      <c r="AB29" s="89"/>
      <c r="AC29" s="89"/>
    </row>
    <row r="30" spans="1:29" ht="15" x14ac:dyDescent="0.3">
      <c r="B30" s="105" t="s">
        <v>958</v>
      </c>
      <c r="C30" s="105"/>
      <c r="D30" s="105"/>
      <c r="E30" s="111"/>
      <c r="F30" s="111"/>
      <c r="G30" s="111">
        <f>+E30-F30</f>
        <v>0</v>
      </c>
      <c r="I30" s="117" t="s">
        <v>959</v>
      </c>
      <c r="J30" s="123"/>
      <c r="K30" s="123"/>
      <c r="L30" s="123"/>
      <c r="M30" s="123"/>
      <c r="N30" s="123"/>
      <c r="O30" s="123"/>
      <c r="P30" s="123"/>
      <c r="Q30" s="123"/>
      <c r="R30" s="132"/>
      <c r="W30" s="89"/>
      <c r="X30" s="89"/>
      <c r="Y30" s="89"/>
      <c r="Z30" s="89"/>
      <c r="AA30" s="89"/>
      <c r="AB30" s="89"/>
      <c r="AC30" s="89"/>
    </row>
    <row r="31" spans="1:29" ht="15" x14ac:dyDescent="0.3">
      <c r="B31" s="105" t="s">
        <v>981</v>
      </c>
      <c r="C31" s="111"/>
      <c r="D31" s="111"/>
      <c r="E31" s="111">
        <f ca="1">'situazione patrimoniale finanzi'!E42+DATA!N239</f>
        <v>7652708.3800000008</v>
      </c>
      <c r="F31" s="111">
        <f>'situazione patrimoniale finanzi'!F42+DATA!M239</f>
        <v>7349700.8799999999</v>
      </c>
      <c r="G31" s="111">
        <f t="shared" ref="G31:G40" ca="1" si="4">+E31-F31</f>
        <v>303007.50000000093</v>
      </c>
      <c r="I31" s="122" t="s">
        <v>961</v>
      </c>
      <c r="J31" s="123"/>
      <c r="K31" s="123"/>
      <c r="L31" s="123"/>
      <c r="M31" s="123">
        <f ca="1">+G16-M12</f>
        <v>-2462557.0499999952</v>
      </c>
      <c r="N31" s="123"/>
      <c r="O31" s="123"/>
      <c r="P31" s="123"/>
      <c r="Q31" s="123"/>
      <c r="R31" s="119">
        <f t="shared" ref="R31:R36" ca="1" si="5">SUM(M31:Q31)</f>
        <v>-2462557.0499999952</v>
      </c>
      <c r="W31" s="89"/>
      <c r="X31" s="89"/>
      <c r="Y31" s="89"/>
      <c r="Z31" s="89"/>
      <c r="AA31" s="89"/>
      <c r="AB31" s="89"/>
      <c r="AC31" s="89"/>
    </row>
    <row r="32" spans="1:29" ht="15" x14ac:dyDescent="0.3">
      <c r="B32" s="105" t="s">
        <v>960</v>
      </c>
      <c r="C32" s="105"/>
      <c r="D32" s="105"/>
      <c r="E32" s="111">
        <f ca="1">'situazione patrimoniale finanzi'!E36-DATA!N239</f>
        <v>6241857.0099999988</v>
      </c>
      <c r="F32" s="111">
        <f>'situazione patrimoniale finanzi'!F36-DATA!M239</f>
        <v>4574257.49</v>
      </c>
      <c r="G32" s="111">
        <f ca="1">+E32-F32</f>
        <v>1667599.5199999986</v>
      </c>
      <c r="I32" s="122" t="s">
        <v>963</v>
      </c>
      <c r="J32" s="123"/>
      <c r="K32" s="123"/>
      <c r="L32" s="123"/>
      <c r="M32" s="123">
        <f>+G17</f>
        <v>0</v>
      </c>
      <c r="N32" s="123"/>
      <c r="O32" s="123"/>
      <c r="P32" s="123"/>
      <c r="Q32" s="123"/>
      <c r="R32" s="119">
        <f t="shared" si="5"/>
        <v>0</v>
      </c>
      <c r="W32" s="89"/>
      <c r="X32" s="89"/>
      <c r="Y32" s="89"/>
      <c r="Z32" s="89"/>
      <c r="AA32" s="89"/>
      <c r="AB32" s="89"/>
      <c r="AC32" s="89"/>
    </row>
    <row r="33" spans="2:29" ht="15" x14ac:dyDescent="0.3">
      <c r="B33" s="105" t="s">
        <v>962</v>
      </c>
      <c r="C33" s="105"/>
      <c r="D33" s="105"/>
      <c r="E33" s="111">
        <f ca="1">'situazione patrimoniale finanzi'!E39</f>
        <v>11322163.42</v>
      </c>
      <c r="F33" s="111">
        <f>'situazione patrimoniale finanzi'!F39</f>
        <v>9278650.3300000001</v>
      </c>
      <c r="G33" s="111">
        <f ca="1">+E33-F33</f>
        <v>2043513.0899999999</v>
      </c>
      <c r="I33" s="122" t="s">
        <v>964</v>
      </c>
      <c r="J33" s="123"/>
      <c r="K33" s="123"/>
      <c r="L33" s="123"/>
      <c r="M33" s="123">
        <f ca="1">+G18-M13-5711</f>
        <v>-3799.8099999999904</v>
      </c>
      <c r="N33" s="123"/>
      <c r="O33" s="123"/>
      <c r="P33" s="123"/>
      <c r="Q33" s="123"/>
      <c r="R33" s="119">
        <f t="shared" ca="1" si="5"/>
        <v>-3799.8099999999904</v>
      </c>
      <c r="W33" s="89"/>
      <c r="X33" s="89"/>
      <c r="Y33" s="89"/>
      <c r="Z33" s="89"/>
      <c r="AA33" s="89"/>
      <c r="AB33" s="89"/>
      <c r="AC33" s="89"/>
    </row>
    <row r="34" spans="2:29" ht="15" x14ac:dyDescent="0.3">
      <c r="B34" s="105"/>
      <c r="C34" s="105"/>
      <c r="D34" s="105"/>
      <c r="E34" s="111"/>
      <c r="F34" s="111"/>
      <c r="G34" s="111">
        <f t="shared" si="4"/>
        <v>0</v>
      </c>
      <c r="I34" s="122" t="s">
        <v>965</v>
      </c>
      <c r="J34" s="123"/>
      <c r="K34" s="123"/>
      <c r="L34" s="123"/>
      <c r="M34" s="123"/>
      <c r="N34" s="123"/>
      <c r="O34" s="123"/>
      <c r="P34" s="123"/>
      <c r="Q34" s="123"/>
      <c r="R34" s="119">
        <f t="shared" si="5"/>
        <v>0</v>
      </c>
      <c r="W34" s="89"/>
      <c r="X34" s="89"/>
      <c r="Y34" s="89"/>
      <c r="Z34" s="89"/>
      <c r="AA34" s="89"/>
      <c r="AB34" s="89"/>
      <c r="AC34" s="89"/>
    </row>
    <row r="35" spans="2:29" ht="15" x14ac:dyDescent="0.3">
      <c r="B35" s="105" t="s">
        <v>84</v>
      </c>
      <c r="C35" s="105"/>
      <c r="D35" s="105"/>
      <c r="E35" s="111">
        <f ca="1">'situazione patrimoniale finanzi'!E35</f>
        <v>2999817.7793371407</v>
      </c>
      <c r="F35" s="111">
        <f>'situazione patrimoniale finanzi'!F35</f>
        <v>3070728.2806699998</v>
      </c>
      <c r="G35" s="111">
        <f t="shared" ca="1" si="4"/>
        <v>-70910.501332859043</v>
      </c>
      <c r="I35" s="122" t="s">
        <v>1092</v>
      </c>
      <c r="J35" s="123"/>
      <c r="K35" s="123"/>
      <c r="L35" s="123"/>
      <c r="M35" s="123">
        <f ca="1">+G19</f>
        <v>-250</v>
      </c>
      <c r="N35" s="123"/>
      <c r="O35" s="123"/>
      <c r="P35" s="123"/>
      <c r="Q35" s="123"/>
      <c r="R35" s="119">
        <f t="shared" ca="1" si="5"/>
        <v>-250</v>
      </c>
      <c r="V35" s="133"/>
      <c r="W35" s="89"/>
      <c r="X35" s="89"/>
      <c r="Y35" s="89"/>
      <c r="Z35" s="89"/>
      <c r="AA35" s="89"/>
      <c r="AB35" s="89"/>
      <c r="AC35" s="89"/>
    </row>
    <row r="36" spans="2:29" ht="15" x14ac:dyDescent="0.3">
      <c r="B36" s="105" t="s">
        <v>180</v>
      </c>
      <c r="C36" s="105"/>
      <c r="D36" s="105"/>
      <c r="E36" s="111">
        <f ca="1">'situazione patrimoniale finanzi'!E40</f>
        <v>892177.54999999993</v>
      </c>
      <c r="F36" s="111">
        <f>'situazione patrimoniale finanzi'!F40</f>
        <v>927105.95000000007</v>
      </c>
      <c r="G36" s="111">
        <f t="shared" ca="1" si="4"/>
        <v>-34928.40000000014</v>
      </c>
      <c r="I36" s="122" t="s">
        <v>1093</v>
      </c>
      <c r="J36" s="123"/>
      <c r="K36" s="123"/>
      <c r="L36" s="123"/>
      <c r="M36" s="123"/>
      <c r="N36" s="123"/>
      <c r="O36" s="123"/>
      <c r="P36" s="123"/>
      <c r="Q36" s="123"/>
      <c r="R36" s="119">
        <f t="shared" si="5"/>
        <v>0</v>
      </c>
      <c r="W36" s="89"/>
      <c r="X36" s="89"/>
      <c r="Y36" s="89"/>
      <c r="Z36" s="89"/>
      <c r="AA36" s="89"/>
      <c r="AB36" s="89"/>
      <c r="AC36" s="89"/>
    </row>
    <row r="37" spans="2:29" ht="15" x14ac:dyDescent="0.3">
      <c r="B37" s="105" t="s">
        <v>966</v>
      </c>
      <c r="C37" s="105"/>
      <c r="D37" s="105"/>
      <c r="E37" s="111">
        <f ca="1">'situazione patrimoniale finanzi'!E41</f>
        <v>2641438.6647618944</v>
      </c>
      <c r="F37" s="111">
        <f>'situazione patrimoniale finanzi'!F41</f>
        <v>2741956.3440036466</v>
      </c>
      <c r="G37" s="111">
        <f t="shared" ca="1" si="4"/>
        <v>-100517.67924175225</v>
      </c>
      <c r="I37" s="122" t="s">
        <v>1375</v>
      </c>
      <c r="J37" s="123"/>
      <c r="K37" s="123"/>
      <c r="L37" s="123"/>
      <c r="M37" s="123">
        <f>+G20-M14</f>
        <v>-11352.440000000177</v>
      </c>
      <c r="N37" s="123"/>
      <c r="O37" s="123"/>
      <c r="P37" s="123"/>
      <c r="Q37" s="123"/>
      <c r="R37" s="119"/>
      <c r="W37" s="89"/>
      <c r="X37" s="89"/>
      <c r="Y37" s="89"/>
      <c r="Z37" s="89"/>
      <c r="AA37" s="89"/>
      <c r="AB37" s="89"/>
      <c r="AC37" s="89"/>
    </row>
    <row r="38" spans="2:29" ht="15" x14ac:dyDescent="0.3">
      <c r="B38" s="105"/>
      <c r="C38" s="105"/>
      <c r="D38" s="105"/>
      <c r="E38" s="111"/>
      <c r="F38" s="111"/>
      <c r="G38" s="111">
        <f t="shared" si="4"/>
        <v>0</v>
      </c>
      <c r="I38" s="122"/>
      <c r="J38" s="123"/>
      <c r="K38" s="123"/>
      <c r="L38" s="123"/>
      <c r="M38" s="123"/>
      <c r="N38" s="123"/>
      <c r="O38" s="123"/>
      <c r="P38" s="123"/>
      <c r="Q38" s="123"/>
      <c r="R38" s="119"/>
      <c r="W38" s="89"/>
      <c r="X38" s="89"/>
      <c r="Y38" s="89"/>
      <c r="Z38" s="89"/>
      <c r="AA38" s="89"/>
      <c r="AB38" s="89"/>
      <c r="AC38" s="89"/>
    </row>
    <row r="39" spans="2:29" ht="15" x14ac:dyDescent="0.3">
      <c r="B39" s="105" t="s">
        <v>895</v>
      </c>
      <c r="C39" s="105"/>
      <c r="D39" s="105"/>
      <c r="E39" s="111">
        <f ca="1">'situazione patrimoniale finanzi'!E34</f>
        <v>945902.23</v>
      </c>
      <c r="F39" s="111">
        <f>'situazione patrimoniale finanzi'!F34</f>
        <v>862191.48</v>
      </c>
      <c r="G39" s="111">
        <f t="shared" ca="1" si="4"/>
        <v>83710.75</v>
      </c>
      <c r="I39" s="128"/>
      <c r="J39" s="129"/>
      <c r="K39" s="129"/>
      <c r="L39" s="130" t="s">
        <v>968</v>
      </c>
      <c r="M39" s="129">
        <f ca="1">SUM(M31:M37)</f>
        <v>-2477959.2999999952</v>
      </c>
      <c r="N39" s="129"/>
      <c r="O39" s="129"/>
      <c r="P39" s="129"/>
      <c r="Q39" s="129"/>
      <c r="R39" s="131">
        <f ca="1">SUM(R31:R37)</f>
        <v>-2466606.8599999952</v>
      </c>
      <c r="W39" s="89"/>
      <c r="X39" s="89"/>
      <c r="Y39" s="89"/>
      <c r="Z39" s="89"/>
      <c r="AA39" s="89"/>
      <c r="AB39" s="89"/>
      <c r="AC39" s="89"/>
    </row>
    <row r="40" spans="2:29" ht="15" x14ac:dyDescent="0.3">
      <c r="B40" s="105" t="s">
        <v>967</v>
      </c>
      <c r="C40" s="105"/>
      <c r="D40" s="105"/>
      <c r="E40" s="111">
        <f ca="1">'situazione patrimoniale finanzi'!E33</f>
        <v>215171.64</v>
      </c>
      <c r="F40" s="111">
        <f>'situazione patrimoniale finanzi'!F33</f>
        <v>228211.83</v>
      </c>
      <c r="G40" s="111">
        <f t="shared" ca="1" si="4"/>
        <v>-13040.189999999973</v>
      </c>
      <c r="I40" s="122"/>
      <c r="J40" s="123"/>
      <c r="K40" s="123"/>
      <c r="L40" s="134"/>
      <c r="M40" s="123"/>
      <c r="N40" s="123"/>
      <c r="O40" s="123"/>
      <c r="P40" s="123"/>
      <c r="Q40" s="123"/>
      <c r="R40" s="132"/>
      <c r="W40" s="89"/>
      <c r="X40" s="89"/>
      <c r="Y40" s="89"/>
      <c r="Z40" s="89"/>
      <c r="AA40" s="89"/>
      <c r="AB40" s="89"/>
      <c r="AC40" s="89"/>
    </row>
    <row r="41" spans="2:29" ht="15" x14ac:dyDescent="0.3">
      <c r="B41" s="105"/>
      <c r="C41" s="105"/>
      <c r="D41" s="105"/>
      <c r="E41" s="116"/>
      <c r="F41" s="116"/>
      <c r="G41" s="111">
        <f>+E41-F41</f>
        <v>0</v>
      </c>
      <c r="I41" s="117" t="s">
        <v>969</v>
      </c>
      <c r="J41" s="123"/>
      <c r="K41" s="123"/>
      <c r="L41" s="123"/>
      <c r="M41" s="123"/>
      <c r="N41" s="123"/>
      <c r="O41" s="123"/>
      <c r="P41" s="123"/>
      <c r="Q41" s="123"/>
      <c r="R41" s="132"/>
      <c r="W41" s="89"/>
      <c r="X41" s="89"/>
      <c r="Y41" s="89"/>
      <c r="Z41" s="89"/>
      <c r="AA41" s="89"/>
      <c r="AB41" s="89"/>
      <c r="AC41" s="89"/>
    </row>
    <row r="42" spans="2:29" ht="15" x14ac:dyDescent="0.3">
      <c r="B42" s="105"/>
      <c r="C42" s="105"/>
      <c r="D42" s="105"/>
      <c r="E42" s="121">
        <f ca="1">SUM(E29:E41)</f>
        <v>32911236.674099039</v>
      </c>
      <c r="F42" s="121">
        <f>SUM(F29:F41)</f>
        <v>29032802.584673647</v>
      </c>
      <c r="G42" s="121">
        <f ca="1">SUM(G29:G41)</f>
        <v>3878434.0894253883</v>
      </c>
      <c r="I42" s="122" t="s">
        <v>970</v>
      </c>
      <c r="J42" s="123"/>
      <c r="K42" s="123"/>
      <c r="L42" s="123"/>
      <c r="M42" s="123">
        <f ca="1">+E43+E44+E45-F43-F44-F45-F46</f>
        <v>9.9999984377063811E-3</v>
      </c>
      <c r="N42" s="123"/>
      <c r="O42" s="123"/>
      <c r="P42" s="123"/>
      <c r="Q42" s="123"/>
      <c r="R42" s="119">
        <f t="shared" ref="R42:R46" ca="1" si="6">SUM(M42:Q42)</f>
        <v>9.9999984377063811E-3</v>
      </c>
      <c r="W42" s="89"/>
      <c r="X42" s="89"/>
      <c r="Y42" s="89"/>
      <c r="Z42" s="89"/>
      <c r="AA42" s="89"/>
      <c r="AB42" s="89"/>
      <c r="AC42" s="89"/>
    </row>
    <row r="43" spans="2:29" ht="15" x14ac:dyDescent="0.3">
      <c r="B43" s="105" t="s">
        <v>971</v>
      </c>
      <c r="C43" s="105"/>
      <c r="D43" s="105"/>
      <c r="E43" s="111">
        <f ca="1">'situazione patrimoniale finanzi'!E28</f>
        <v>5300000</v>
      </c>
      <c r="F43" s="111">
        <f>'situazione patrimoniale finanzi'!F28</f>
        <v>5300000</v>
      </c>
      <c r="G43" s="111">
        <f ca="1">+E43-F43</f>
        <v>0</v>
      </c>
      <c r="I43" s="122" t="s">
        <v>1116</v>
      </c>
      <c r="J43" s="123"/>
      <c r="K43" s="123"/>
      <c r="L43" s="123"/>
      <c r="M43" s="123">
        <f ca="1">+G32+G29</f>
        <v>1667599.5199999986</v>
      </c>
      <c r="N43" s="123">
        <f ca="1">E65-M43</f>
        <v>790400.48000000138</v>
      </c>
      <c r="O43" s="123"/>
      <c r="P43" s="123"/>
      <c r="Q43" s="123"/>
      <c r="R43" s="119">
        <f t="shared" ca="1" si="6"/>
        <v>2458000</v>
      </c>
      <c r="W43" s="89"/>
      <c r="X43" s="89"/>
      <c r="Y43" s="89"/>
      <c r="Z43" s="89"/>
      <c r="AA43" s="89"/>
      <c r="AB43" s="89"/>
      <c r="AC43" s="89"/>
    </row>
    <row r="44" spans="2:29" ht="15" x14ac:dyDescent="0.3">
      <c r="B44" s="105" t="s">
        <v>972</v>
      </c>
      <c r="C44" s="105"/>
      <c r="D44" s="105"/>
      <c r="E44" s="111">
        <f ca="1">'situazione patrimoniale finanzi'!E29</f>
        <v>-311402.6166065014</v>
      </c>
      <c r="F44" s="111">
        <f>'situazione patrimoniale finanzi'!F29</f>
        <v>-363699.6166065014</v>
      </c>
      <c r="G44" s="111">
        <f ca="1">+E44-F44</f>
        <v>52297</v>
      </c>
      <c r="I44" s="122" t="s">
        <v>1118</v>
      </c>
      <c r="J44" s="123"/>
      <c r="K44" s="123"/>
      <c r="L44" s="123"/>
      <c r="M44" s="123"/>
      <c r="N44" s="123">
        <f ca="1">-N43</f>
        <v>-790400.48000000138</v>
      </c>
      <c r="O44" s="123"/>
      <c r="P44" s="123"/>
      <c r="Q44" s="123"/>
      <c r="R44" s="119">
        <f t="shared" ca="1" si="6"/>
        <v>-790400.48000000138</v>
      </c>
      <c r="W44" s="89"/>
      <c r="X44" s="89"/>
      <c r="Y44" s="89"/>
      <c r="Z44" s="89"/>
      <c r="AA44" s="89"/>
      <c r="AB44" s="89"/>
      <c r="AC44" s="89"/>
    </row>
    <row r="45" spans="2:29" ht="15" x14ac:dyDescent="0.3">
      <c r="B45" s="105" t="s">
        <v>972</v>
      </c>
      <c r="C45" s="105"/>
      <c r="D45" s="105"/>
      <c r="E45" s="111"/>
      <c r="F45" s="111"/>
      <c r="G45" s="111">
        <f>+E45-F45</f>
        <v>0</v>
      </c>
      <c r="I45" s="122" t="s">
        <v>974</v>
      </c>
      <c r="J45" s="123"/>
      <c r="K45" s="123"/>
      <c r="L45" s="123"/>
      <c r="M45" s="123">
        <f>+G30</f>
        <v>0</v>
      </c>
      <c r="N45" s="123"/>
      <c r="O45" s="123"/>
      <c r="P45" s="123"/>
      <c r="Q45" s="123"/>
      <c r="R45" s="119">
        <f t="shared" si="6"/>
        <v>0</v>
      </c>
      <c r="W45" s="89"/>
      <c r="X45" s="89"/>
      <c r="Y45" s="89"/>
      <c r="Z45" s="89"/>
      <c r="AA45" s="89"/>
      <c r="AB45" s="89"/>
      <c r="AC45" s="89"/>
    </row>
    <row r="46" spans="2:29" ht="15" x14ac:dyDescent="0.3">
      <c r="B46" s="105" t="s">
        <v>973</v>
      </c>
      <c r="C46" s="105"/>
      <c r="D46" s="105"/>
      <c r="E46" s="116">
        <f>'situazione patrimoniale finanzi'!E30</f>
        <v>-200738.04368493997</v>
      </c>
      <c r="F46" s="116">
        <f ca="1">'situazione patrimoniale finanzi'!F30</f>
        <v>52296.990000001097</v>
      </c>
      <c r="G46" s="111">
        <f ca="1">+E46-F46</f>
        <v>-253035.03368494107</v>
      </c>
      <c r="I46" s="122" t="s">
        <v>975</v>
      </c>
      <c r="J46" s="123"/>
      <c r="K46" s="123"/>
      <c r="L46" s="123"/>
      <c r="M46" s="123">
        <f ca="1">+G31</f>
        <v>303007.50000000093</v>
      </c>
      <c r="N46" s="123"/>
      <c r="O46" s="123"/>
      <c r="P46" s="123"/>
      <c r="Q46" s="123"/>
      <c r="R46" s="119">
        <f t="shared" ca="1" si="6"/>
        <v>303007.50000000093</v>
      </c>
      <c r="W46" s="89"/>
      <c r="X46" s="89"/>
      <c r="Y46" s="89"/>
      <c r="Z46" s="89"/>
      <c r="AA46" s="89"/>
      <c r="AB46" s="89"/>
      <c r="AC46" s="89"/>
    </row>
    <row r="47" spans="2:29" ht="15" x14ac:dyDescent="0.3">
      <c r="B47" s="105"/>
      <c r="C47" s="105"/>
      <c r="D47" s="105"/>
      <c r="E47" s="121">
        <f ca="1">SUM(E43:E46)</f>
        <v>4787859.3397085583</v>
      </c>
      <c r="F47" s="121">
        <f ca="1">SUM(F43:F46)</f>
        <v>4988597.3733934993</v>
      </c>
      <c r="G47" s="121">
        <f ca="1">SUM(G43:G46)</f>
        <v>-200738.03368494107</v>
      </c>
      <c r="I47" s="122"/>
      <c r="J47" s="123"/>
      <c r="K47" s="123"/>
      <c r="L47" s="123"/>
      <c r="M47" s="123"/>
      <c r="N47" s="123"/>
      <c r="O47" s="123"/>
      <c r="P47" s="123"/>
      <c r="Q47" s="123"/>
      <c r="R47" s="119"/>
      <c r="W47" s="89"/>
      <c r="X47" s="89"/>
      <c r="Y47" s="89"/>
      <c r="Z47" s="89"/>
      <c r="AA47" s="89"/>
      <c r="AB47" s="89"/>
      <c r="AC47" s="89"/>
    </row>
    <row r="48" spans="2:29" thickBot="1" x14ac:dyDescent="0.35">
      <c r="B48" s="105"/>
      <c r="C48" s="105"/>
      <c r="D48" s="105"/>
      <c r="E48" s="136">
        <f ca="1">+E42+E47</f>
        <v>37699096.013807595</v>
      </c>
      <c r="F48" s="136">
        <f ca="1">+F42+F47</f>
        <v>34021399.958067149</v>
      </c>
      <c r="G48" s="136">
        <f ca="1">+G42+G47</f>
        <v>3677696.0557404472</v>
      </c>
      <c r="H48" s="135"/>
      <c r="I48" s="128"/>
      <c r="J48" s="129"/>
      <c r="K48" s="129"/>
      <c r="L48" s="130" t="s">
        <v>976</v>
      </c>
      <c r="M48" s="129">
        <f ca="1">SUM(M42:M46)</f>
        <v>1970607.0299999979</v>
      </c>
      <c r="N48" s="129"/>
      <c r="O48" s="129"/>
      <c r="P48" s="129"/>
      <c r="Q48" s="129"/>
      <c r="R48" s="131">
        <f ca="1">SUM(R42:R46)</f>
        <v>1970607.0299999979</v>
      </c>
      <c r="W48" s="89"/>
      <c r="X48" s="89"/>
      <c r="Y48" s="89"/>
      <c r="Z48" s="89"/>
      <c r="AA48" s="89"/>
      <c r="AB48" s="89"/>
      <c r="AC48" s="89"/>
    </row>
    <row r="49" spans="2:29" s="93" customFormat="1" thickTop="1" x14ac:dyDescent="0.3">
      <c r="B49" s="89"/>
      <c r="C49" s="89"/>
      <c r="D49" s="89"/>
      <c r="E49" s="137">
        <f ca="1">+E48-E9</f>
        <v>37699096.013807595</v>
      </c>
      <c r="F49" s="137">
        <f ca="1">+F48-F9</f>
        <v>34021399.958067149</v>
      </c>
      <c r="G49" s="137"/>
      <c r="H49" s="135"/>
      <c r="I49" s="122"/>
      <c r="J49" s="123"/>
      <c r="K49" s="123"/>
      <c r="L49" s="134"/>
      <c r="M49" s="123"/>
      <c r="N49" s="123"/>
      <c r="O49" s="123"/>
      <c r="P49" s="123"/>
      <c r="Q49" s="123"/>
      <c r="R49" s="132"/>
      <c r="S49" s="89"/>
      <c r="T49" s="91"/>
    </row>
    <row r="50" spans="2:29" ht="15" x14ac:dyDescent="0.3">
      <c r="E50" s="137">
        <f ca="1">+E25-E49</f>
        <v>0</v>
      </c>
      <c r="F50" s="137">
        <f ca="1">+F25-F49</f>
        <v>0</v>
      </c>
      <c r="G50" s="137"/>
      <c r="H50" s="94"/>
      <c r="I50" s="117" t="s">
        <v>977</v>
      </c>
      <c r="J50" s="118"/>
      <c r="K50" s="123"/>
      <c r="L50" s="123"/>
      <c r="M50" s="123">
        <f ca="1">+M28+M39+M48</f>
        <v>725711.96999997739</v>
      </c>
      <c r="N50" s="123"/>
      <c r="O50" s="123"/>
      <c r="P50" s="123"/>
      <c r="Q50" s="123"/>
      <c r="R50" s="132">
        <f ca="1">+R28+R39+R48</f>
        <v>737064.40999997733</v>
      </c>
      <c r="W50" s="89"/>
      <c r="X50" s="89"/>
      <c r="Y50" s="89"/>
      <c r="Z50" s="89"/>
      <c r="AA50" s="89"/>
      <c r="AB50" s="89"/>
      <c r="AC50" s="89"/>
    </row>
    <row r="51" spans="2:29" ht="15" x14ac:dyDescent="0.3">
      <c r="E51" s="137"/>
      <c r="F51" s="137"/>
      <c r="G51" s="137"/>
      <c r="I51" s="117" t="s">
        <v>978</v>
      </c>
      <c r="J51" s="118"/>
      <c r="K51" s="123"/>
      <c r="L51" s="123"/>
      <c r="M51" s="138">
        <f>+F10</f>
        <v>543540.46</v>
      </c>
      <c r="N51" s="123"/>
      <c r="O51" s="123"/>
      <c r="P51" s="123"/>
      <c r="Q51" s="123"/>
      <c r="R51" s="139">
        <f>SUM(M51:Q51)</f>
        <v>543540.46</v>
      </c>
      <c r="W51" s="89"/>
      <c r="X51" s="89"/>
      <c r="Y51" s="89"/>
      <c r="Z51" s="89"/>
      <c r="AA51" s="89"/>
      <c r="AB51" s="89"/>
      <c r="AC51" s="89"/>
    </row>
    <row r="52" spans="2:29" thickBot="1" x14ac:dyDescent="0.35">
      <c r="E52" s="88"/>
      <c r="F52" s="88"/>
      <c r="G52" s="88"/>
      <c r="I52" s="117" t="s">
        <v>979</v>
      </c>
      <c r="J52" s="118"/>
      <c r="K52" s="123"/>
      <c r="L52" s="123"/>
      <c r="M52" s="140">
        <f ca="1">SUM(M50:M51)</f>
        <v>1269252.4299999774</v>
      </c>
      <c r="N52" s="123"/>
      <c r="O52" s="123"/>
      <c r="P52" s="123"/>
      <c r="Q52" s="123"/>
      <c r="R52" s="141">
        <f ca="1">SUM(R50:R51)</f>
        <v>1280604.8699999773</v>
      </c>
      <c r="W52" s="89"/>
      <c r="X52" s="89"/>
      <c r="Y52" s="89"/>
      <c r="Z52" s="89"/>
      <c r="AA52" s="89"/>
      <c r="AB52" s="89"/>
      <c r="AC52" s="89"/>
    </row>
    <row r="53" spans="2:29" ht="16.5" thickTop="1" thickBot="1" x14ac:dyDescent="0.35">
      <c r="E53" s="88"/>
      <c r="F53" s="88"/>
      <c r="G53" s="88"/>
      <c r="I53" s="142"/>
      <c r="J53" s="143"/>
      <c r="K53" s="143"/>
      <c r="L53" s="143"/>
      <c r="M53" s="144"/>
      <c r="N53" s="144"/>
      <c r="O53" s="144"/>
      <c r="P53" s="144"/>
      <c r="Q53" s="144"/>
      <c r="R53" s="145"/>
      <c r="W53" s="89"/>
      <c r="X53" s="89"/>
      <c r="Y53" s="89"/>
      <c r="Z53" s="89"/>
      <c r="AA53" s="89"/>
      <c r="AB53" s="89"/>
      <c r="AC53" s="89"/>
    </row>
    <row r="54" spans="2:29" ht="15" x14ac:dyDescent="0.3">
      <c r="E54" s="88"/>
      <c r="F54" s="88"/>
      <c r="G54" s="88"/>
      <c r="M54" s="133"/>
      <c r="N54" s="133"/>
      <c r="O54" s="133"/>
      <c r="P54" s="133"/>
      <c r="Q54" s="133"/>
      <c r="R54" s="133"/>
      <c r="W54" s="89"/>
      <c r="X54" s="89"/>
      <c r="Y54" s="89"/>
      <c r="Z54" s="89"/>
      <c r="AA54" s="89"/>
      <c r="AB54" s="89"/>
      <c r="AC54" s="89"/>
    </row>
    <row r="55" spans="2:29" ht="15" x14ac:dyDescent="0.3">
      <c r="I55" s="137"/>
      <c r="J55" s="137"/>
      <c r="K55" s="137"/>
      <c r="L55" s="137"/>
      <c r="M55" s="146">
        <f ca="1">+M52-E10</f>
        <v>0.99999997741542757</v>
      </c>
      <c r="N55" s="137">
        <f ca="1">SUM(N10:N52)</f>
        <v>0</v>
      </c>
      <c r="O55" s="137">
        <f>SUM(O10:O52)</f>
        <v>0</v>
      </c>
      <c r="P55" s="137">
        <f>SUM(P10:P52)</f>
        <v>0</v>
      </c>
      <c r="Q55" s="137">
        <f>SUM(Q10:Q52)</f>
        <v>0</v>
      </c>
      <c r="R55" s="146">
        <f ca="1">+R52-E10</f>
        <v>11353.43999997736</v>
      </c>
      <c r="W55" s="89"/>
      <c r="X55" s="89"/>
      <c r="Y55" s="89"/>
      <c r="Z55" s="89"/>
      <c r="AA55" s="89"/>
      <c r="AB55" s="89"/>
      <c r="AC55" s="89"/>
    </row>
    <row r="56" spans="2:29" ht="15" x14ac:dyDescent="0.3">
      <c r="M56" s="133"/>
      <c r="N56" s="133"/>
      <c r="O56" s="137"/>
      <c r="P56" s="137"/>
      <c r="Q56" s="137"/>
      <c r="R56" s="114"/>
      <c r="W56" s="89"/>
      <c r="X56" s="89"/>
      <c r="Y56" s="89"/>
      <c r="Z56" s="89"/>
      <c r="AA56" s="89"/>
      <c r="AB56" s="89"/>
      <c r="AC56" s="89"/>
    </row>
    <row r="57" spans="2:29" ht="15" x14ac:dyDescent="0.3">
      <c r="M57" s="133"/>
      <c r="N57" s="133"/>
      <c r="O57" s="133"/>
      <c r="P57" s="133"/>
      <c r="Q57" s="133"/>
      <c r="R57" s="133"/>
      <c r="W57" s="89"/>
      <c r="X57" s="89"/>
      <c r="Y57" s="89"/>
      <c r="Z57" s="89"/>
      <c r="AA57" s="89"/>
      <c r="AB57" s="89"/>
      <c r="AC57" s="89"/>
    </row>
    <row r="58" spans="2:29" ht="15" x14ac:dyDescent="0.3">
      <c r="M58" s="133"/>
      <c r="N58" s="133"/>
      <c r="O58" s="133"/>
      <c r="P58" s="133"/>
      <c r="Q58" s="133"/>
      <c r="R58" s="133"/>
      <c r="W58" s="89"/>
      <c r="X58" s="89"/>
      <c r="Y58" s="89"/>
      <c r="Z58" s="89"/>
      <c r="AA58" s="89"/>
      <c r="AB58" s="89"/>
      <c r="AC58" s="89"/>
    </row>
    <row r="59" spans="2:29" ht="15" x14ac:dyDescent="0.3">
      <c r="I59" s="166"/>
      <c r="J59" s="166"/>
      <c r="K59" s="166"/>
      <c r="M59" s="133"/>
      <c r="N59" s="133"/>
      <c r="O59" s="133"/>
      <c r="P59" s="133"/>
      <c r="Q59" s="133"/>
      <c r="R59" s="133"/>
      <c r="W59" s="89"/>
      <c r="X59" s="89"/>
      <c r="Y59" s="89"/>
      <c r="Z59" s="89"/>
      <c r="AA59" s="89"/>
      <c r="AB59" s="89"/>
      <c r="AC59" s="89"/>
    </row>
    <row r="60" spans="2:29" ht="15" x14ac:dyDescent="0.3">
      <c r="B60" s="89" t="s">
        <v>1117</v>
      </c>
      <c r="I60" s="166">
        <v>167753.14000000001</v>
      </c>
      <c r="J60" s="166">
        <v>128816.18</v>
      </c>
      <c r="K60" s="166">
        <v>296345.76</v>
      </c>
      <c r="M60" s="133"/>
      <c r="N60" s="133"/>
      <c r="O60" s="137"/>
      <c r="P60" s="137"/>
      <c r="Q60" s="137"/>
      <c r="R60" s="114"/>
      <c r="W60" s="89"/>
      <c r="X60" s="89"/>
      <c r="Y60" s="89"/>
      <c r="Z60" s="89"/>
      <c r="AA60" s="89"/>
      <c r="AB60" s="89"/>
      <c r="AC60" s="89"/>
    </row>
    <row r="61" spans="2:29" ht="15" x14ac:dyDescent="0.3">
      <c r="B61" s="161"/>
      <c r="E61" s="162"/>
      <c r="F61" s="163"/>
      <c r="G61" s="164"/>
      <c r="I61" s="166">
        <v>160000</v>
      </c>
      <c r="J61" s="166">
        <v>480000</v>
      </c>
      <c r="K61" s="166">
        <v>640000</v>
      </c>
      <c r="O61" s="137"/>
      <c r="P61" s="137"/>
      <c r="Q61" s="137"/>
      <c r="R61" s="114"/>
      <c r="W61" s="89"/>
      <c r="X61" s="89"/>
      <c r="Y61" s="89"/>
      <c r="Z61" s="89"/>
      <c r="AA61" s="89"/>
      <c r="AB61" s="89"/>
      <c r="AC61" s="89"/>
    </row>
    <row r="62" spans="2:29" ht="15" x14ac:dyDescent="0.3">
      <c r="B62" s="161" t="s">
        <v>473</v>
      </c>
      <c r="E62" s="162">
        <v>500000</v>
      </c>
      <c r="F62" s="167">
        <v>2.4639999999999999E-2</v>
      </c>
      <c r="G62" s="168">
        <v>2014</v>
      </c>
      <c r="H62" s="165"/>
      <c r="I62" s="175"/>
      <c r="J62" s="175"/>
      <c r="K62" s="175"/>
      <c r="O62" s="137"/>
      <c r="P62" s="137"/>
      <c r="Q62" s="137"/>
      <c r="R62" s="114"/>
      <c r="W62" s="89"/>
      <c r="X62" s="89"/>
      <c r="Y62" s="89"/>
      <c r="Z62" s="89"/>
      <c r="AA62" s="89"/>
      <c r="AB62" s="89"/>
      <c r="AC62" s="89"/>
    </row>
    <row r="63" spans="2:29" ht="15" x14ac:dyDescent="0.3">
      <c r="B63" s="161" t="s">
        <v>474</v>
      </c>
      <c r="E63" s="162">
        <v>800000</v>
      </c>
      <c r="F63" s="163">
        <v>5.45E-2</v>
      </c>
      <c r="G63" s="169">
        <v>2014</v>
      </c>
      <c r="H63" s="165">
        <v>2017</v>
      </c>
      <c r="I63" s="180"/>
      <c r="J63" s="180"/>
      <c r="K63" s="180"/>
      <c r="W63" s="89"/>
      <c r="X63" s="89"/>
      <c r="Y63" s="89"/>
      <c r="Z63" s="89"/>
      <c r="AA63" s="89"/>
      <c r="AB63" s="89"/>
      <c r="AC63" s="89"/>
    </row>
    <row r="64" spans="2:29" x14ac:dyDescent="0.3">
      <c r="B64" s="170" t="s">
        <v>475</v>
      </c>
      <c r="E64" s="171">
        <v>1158000</v>
      </c>
      <c r="F64" s="172">
        <v>5.45E-2</v>
      </c>
      <c r="G64" s="173">
        <v>2014</v>
      </c>
      <c r="H64" s="165">
        <v>2019</v>
      </c>
      <c r="I64" s="166"/>
      <c r="J64" s="166"/>
      <c r="K64" s="166"/>
      <c r="O64" s="137"/>
      <c r="P64" s="137"/>
      <c r="Q64" s="137"/>
      <c r="R64" s="114"/>
    </row>
    <row r="65" spans="2:29" ht="15" x14ac:dyDescent="0.3">
      <c r="B65" s="176">
        <v>2014</v>
      </c>
      <c r="E65" s="177">
        <f>SUM(E62:E64)</f>
        <v>2458000</v>
      </c>
      <c r="F65" s="163"/>
      <c r="G65" s="178"/>
      <c r="H65" s="174">
        <v>2030</v>
      </c>
      <c r="I65" s="166">
        <v>49678.48</v>
      </c>
      <c r="J65" s="166">
        <v>63868.45</v>
      </c>
      <c r="K65" s="166">
        <v>113546.93</v>
      </c>
      <c r="O65" s="137"/>
      <c r="P65" s="137"/>
      <c r="Q65" s="137"/>
      <c r="R65" s="113"/>
      <c r="W65" s="89"/>
      <c r="X65" s="89"/>
      <c r="Y65" s="89"/>
      <c r="Z65" s="89"/>
      <c r="AA65" s="89"/>
      <c r="AB65" s="89"/>
      <c r="AC65" s="89"/>
    </row>
    <row r="66" spans="2:29" ht="15" x14ac:dyDescent="0.3">
      <c r="B66" s="161"/>
      <c r="E66" s="162"/>
      <c r="F66" s="163"/>
      <c r="G66" s="164"/>
      <c r="H66" s="179"/>
      <c r="I66" s="175">
        <v>0</v>
      </c>
      <c r="J66" s="175">
        <v>1500000</v>
      </c>
      <c r="K66" s="175">
        <v>1500000</v>
      </c>
      <c r="W66" s="89"/>
      <c r="X66" s="89"/>
      <c r="Y66" s="89"/>
      <c r="Z66" s="89"/>
      <c r="AA66" s="89"/>
      <c r="AB66" s="89"/>
      <c r="AC66" s="89"/>
    </row>
    <row r="67" spans="2:29" ht="16.5" thickBot="1" x14ac:dyDescent="0.35">
      <c r="B67" s="161" t="s">
        <v>469</v>
      </c>
      <c r="E67" s="162">
        <v>150000</v>
      </c>
      <c r="F67" s="181">
        <v>2.5000000000000001E-2</v>
      </c>
      <c r="G67" s="168">
        <v>2015</v>
      </c>
      <c r="H67" s="165"/>
    </row>
    <row r="68" spans="2:29" ht="16.5" thickTop="1" x14ac:dyDescent="0.3">
      <c r="B68" s="170" t="s">
        <v>475</v>
      </c>
      <c r="E68" s="171">
        <f>1500000-E64</f>
        <v>342000</v>
      </c>
      <c r="F68" s="172">
        <v>5.45E-2</v>
      </c>
      <c r="G68" s="173">
        <v>2015</v>
      </c>
      <c r="H68" s="165">
        <v>2018</v>
      </c>
    </row>
    <row r="69" spans="2:29" x14ac:dyDescent="0.3">
      <c r="H69" s="174">
        <v>2030</v>
      </c>
    </row>
    <row r="76" spans="2:29" x14ac:dyDescent="0.3">
      <c r="E76" s="362">
        <v>14065765</v>
      </c>
    </row>
    <row r="77" spans="2:29" x14ac:dyDescent="0.3">
      <c r="E77" s="362">
        <v>11931731</v>
      </c>
    </row>
    <row r="78" spans="2:29" x14ac:dyDescent="0.3">
      <c r="E78" s="362">
        <f>+E76-E77</f>
        <v>2134034</v>
      </c>
    </row>
    <row r="93" spans="9:29" x14ac:dyDescent="0.3">
      <c r="I93" s="113"/>
    </row>
    <row r="94" spans="9:29" ht="15" x14ac:dyDescent="0.3">
      <c r="I94" s="113"/>
      <c r="W94" s="89"/>
      <c r="X94" s="89"/>
      <c r="Y94" s="89"/>
      <c r="Z94" s="89"/>
      <c r="AA94" s="89"/>
      <c r="AB94" s="89"/>
      <c r="AC94" s="89"/>
    </row>
    <row r="95" spans="9:29" ht="15" x14ac:dyDescent="0.3">
      <c r="I95" s="113"/>
      <c r="W95" s="89"/>
      <c r="X95" s="89"/>
      <c r="Y95" s="89"/>
      <c r="Z95" s="89"/>
      <c r="AA95" s="89"/>
      <c r="AB95" s="89"/>
      <c r="AC95" s="89"/>
    </row>
    <row r="96" spans="9:29" ht="15" x14ac:dyDescent="0.3">
      <c r="I96" s="113"/>
      <c r="W96" s="89"/>
      <c r="X96" s="89"/>
      <c r="Y96" s="89"/>
      <c r="Z96" s="89"/>
      <c r="AA96" s="89"/>
      <c r="AB96" s="89"/>
      <c r="AC96" s="89"/>
    </row>
    <row r="97" spans="9:29" ht="15" x14ac:dyDescent="0.3">
      <c r="I97" s="113"/>
      <c r="W97" s="89"/>
      <c r="X97" s="89"/>
      <c r="Y97" s="89"/>
      <c r="Z97" s="89"/>
      <c r="AA97" s="89"/>
      <c r="AB97" s="89"/>
      <c r="AC97" s="89"/>
    </row>
    <row r="98" spans="9:29" ht="15" x14ac:dyDescent="0.3">
      <c r="I98" s="113"/>
      <c r="W98" s="89"/>
      <c r="X98" s="89"/>
      <c r="Y98" s="89"/>
      <c r="Z98" s="89"/>
      <c r="AA98" s="89"/>
      <c r="AB98" s="89"/>
      <c r="AC98" s="89"/>
    </row>
    <row r="99" spans="9:29" ht="15" x14ac:dyDescent="0.3">
      <c r="W99" s="89"/>
      <c r="X99" s="89"/>
      <c r="Y99" s="89"/>
      <c r="Z99" s="89"/>
      <c r="AA99" s="89"/>
      <c r="AB99" s="89"/>
      <c r="AC99" s="8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V117"/>
  <sheetViews>
    <sheetView topLeftCell="P67" workbookViewId="0">
      <selection activeCell="D67" sqref="A1:XFD1048576"/>
    </sheetView>
  </sheetViews>
  <sheetFormatPr defaultRowHeight="15" x14ac:dyDescent="0.25"/>
  <cols>
    <col min="1" max="1" width="2.125" customWidth="1"/>
    <col min="2" max="2" width="43.375" customWidth="1"/>
    <col min="3" max="5" width="18.75" customWidth="1"/>
    <col min="7" max="7" width="57.625" style="16" customWidth="1"/>
    <col min="8" max="8" width="10.75" style="365" customWidth="1"/>
    <col min="9" max="10" width="10.75" style="16" customWidth="1"/>
    <col min="11" max="11" width="4.125" style="16" customWidth="1"/>
    <col min="12" max="12" width="9.125" style="16"/>
    <col min="13" max="13" width="62" style="16" customWidth="1"/>
    <col min="14" max="17" width="10.75" style="16" customWidth="1"/>
    <col min="19" max="19" width="27.75" customWidth="1"/>
    <col min="20" max="20" width="64.125" customWidth="1"/>
    <col min="21" max="22" width="13.25" style="16" customWidth="1"/>
  </cols>
  <sheetData>
    <row r="2" spans="2:5" x14ac:dyDescent="0.25">
      <c r="B2" s="149" t="s">
        <v>982</v>
      </c>
      <c r="C2" s="155">
        <v>42004</v>
      </c>
      <c r="D2" s="155">
        <v>41639</v>
      </c>
      <c r="E2" s="155"/>
    </row>
    <row r="3" spans="2:5" x14ac:dyDescent="0.25">
      <c r="B3" s="150" t="s">
        <v>983</v>
      </c>
      <c r="C3" s="151"/>
      <c r="D3" s="151"/>
      <c r="E3" s="151"/>
    </row>
    <row r="4" spans="2:5" x14ac:dyDescent="0.25">
      <c r="B4" s="152" t="s">
        <v>984</v>
      </c>
      <c r="C4" s="156">
        <v>81300</v>
      </c>
      <c r="D4" s="159">
        <v>52297</v>
      </c>
      <c r="E4" s="159"/>
    </row>
    <row r="5" spans="2:5" x14ac:dyDescent="0.25">
      <c r="B5" s="152" t="s">
        <v>985</v>
      </c>
      <c r="C5" s="156">
        <v>242204</v>
      </c>
      <c r="D5" s="159">
        <v>203808</v>
      </c>
      <c r="E5" s="159"/>
    </row>
    <row r="6" spans="2:5" x14ac:dyDescent="0.25">
      <c r="B6" s="152" t="s">
        <v>986</v>
      </c>
      <c r="C6" s="156">
        <v>858723</v>
      </c>
      <c r="D6" s="159">
        <v>756168</v>
      </c>
      <c r="E6" s="159"/>
    </row>
    <row r="7" spans="2:5" x14ac:dyDescent="0.25">
      <c r="B7" s="152"/>
      <c r="C7" s="151"/>
      <c r="D7" s="151"/>
      <c r="E7" s="151"/>
    </row>
    <row r="8" spans="2:5" ht="36" x14ac:dyDescent="0.25">
      <c r="B8" s="153" t="s">
        <v>987</v>
      </c>
      <c r="C8" s="157">
        <v>1182227</v>
      </c>
      <c r="D8" s="157">
        <v>1012273</v>
      </c>
      <c r="E8" s="157"/>
    </row>
    <row r="9" spans="2:5" x14ac:dyDescent="0.25">
      <c r="B9" s="152"/>
      <c r="C9" s="151"/>
      <c r="D9" s="151"/>
      <c r="E9" s="151"/>
    </row>
    <row r="10" spans="2:5" ht="24" x14ac:dyDescent="0.25">
      <c r="B10" s="150" t="s">
        <v>988</v>
      </c>
      <c r="C10" s="151"/>
      <c r="D10" s="160"/>
      <c r="E10" s="160"/>
    </row>
    <row r="11" spans="2:5" x14ac:dyDescent="0.25">
      <c r="B11" s="152" t="s">
        <v>989</v>
      </c>
      <c r="C11" s="156">
        <v>205749</v>
      </c>
      <c r="D11" s="159">
        <v>164146</v>
      </c>
      <c r="E11" s="159"/>
    </row>
    <row r="12" spans="2:5" x14ac:dyDescent="0.25">
      <c r="B12" s="152" t="s">
        <v>990</v>
      </c>
      <c r="C12" s="156">
        <v>603381</v>
      </c>
      <c r="D12" s="159">
        <v>602294</v>
      </c>
      <c r="E12" s="159"/>
    </row>
    <row r="13" spans="2:5" x14ac:dyDescent="0.25">
      <c r="B13" s="152" t="s">
        <v>991</v>
      </c>
      <c r="C13" s="151"/>
      <c r="D13" s="160"/>
      <c r="E13" s="160"/>
    </row>
    <row r="14" spans="2:5" x14ac:dyDescent="0.25">
      <c r="B14" s="152" t="s">
        <v>992</v>
      </c>
      <c r="C14" s="156">
        <v>71435</v>
      </c>
      <c r="D14" s="159">
        <v>114601</v>
      </c>
      <c r="E14" s="159"/>
    </row>
    <row r="15" spans="2:5" x14ac:dyDescent="0.25">
      <c r="B15" s="152"/>
      <c r="C15" s="151"/>
      <c r="D15" s="151"/>
      <c r="E15" s="151"/>
    </row>
    <row r="16" spans="2:5" x14ac:dyDescent="0.25">
      <c r="B16" s="153" t="s">
        <v>993</v>
      </c>
      <c r="C16" s="157">
        <v>880565</v>
      </c>
      <c r="D16" s="157">
        <v>881041</v>
      </c>
      <c r="E16" s="157"/>
    </row>
    <row r="17" spans="2:5" x14ac:dyDescent="0.25">
      <c r="B17" s="152"/>
      <c r="C17" s="151"/>
      <c r="D17" s="151"/>
      <c r="E17" s="151"/>
    </row>
    <row r="18" spans="2:5" x14ac:dyDescent="0.25">
      <c r="B18" s="150" t="s">
        <v>994</v>
      </c>
      <c r="C18" s="151"/>
      <c r="D18" s="151"/>
      <c r="E18" s="151"/>
    </row>
    <row r="19" spans="2:5" x14ac:dyDescent="0.25">
      <c r="B19" s="152" t="s">
        <v>995</v>
      </c>
      <c r="C19" s="156">
        <v>-392901</v>
      </c>
      <c r="D19" s="156">
        <v>-441765</v>
      </c>
      <c r="E19" s="156"/>
    </row>
    <row r="20" spans="2:5" x14ac:dyDescent="0.25">
      <c r="B20" s="152" t="s">
        <v>996</v>
      </c>
      <c r="C20" s="156">
        <v>-304506</v>
      </c>
      <c r="D20" s="156">
        <v>-591888</v>
      </c>
      <c r="E20" s="156"/>
    </row>
    <row r="21" spans="2:5" x14ac:dyDescent="0.25">
      <c r="B21" s="152" t="s">
        <v>997</v>
      </c>
      <c r="C21" s="156">
        <v>2019138</v>
      </c>
      <c r="D21" s="156">
        <v>699236</v>
      </c>
      <c r="E21" s="156"/>
    </row>
    <row r="22" spans="2:5" x14ac:dyDescent="0.25">
      <c r="B22" s="152" t="s">
        <v>998</v>
      </c>
      <c r="C22" s="156">
        <v>-8073</v>
      </c>
      <c r="D22" s="156">
        <v>2093</v>
      </c>
      <c r="E22" s="156"/>
    </row>
    <row r="23" spans="2:5" x14ac:dyDescent="0.25">
      <c r="B23" s="152" t="s">
        <v>999</v>
      </c>
      <c r="C23" s="156">
        <v>-44579</v>
      </c>
      <c r="D23" s="156">
        <v>501525</v>
      </c>
      <c r="E23" s="156"/>
    </row>
    <row r="24" spans="2:5" x14ac:dyDescent="0.25">
      <c r="B24" s="152" t="s">
        <v>1000</v>
      </c>
      <c r="C24" s="156">
        <v>-572599</v>
      </c>
      <c r="D24" s="156">
        <v>689852</v>
      </c>
      <c r="E24" s="156"/>
    </row>
    <row r="25" spans="2:5" x14ac:dyDescent="0.25">
      <c r="B25" s="152"/>
      <c r="C25" s="151"/>
      <c r="D25" s="151"/>
      <c r="E25" s="151"/>
    </row>
    <row r="26" spans="2:5" x14ac:dyDescent="0.25">
      <c r="B26" s="153" t="s">
        <v>1001</v>
      </c>
      <c r="C26" s="154"/>
      <c r="D26" s="154"/>
      <c r="E26" s="154"/>
    </row>
    <row r="27" spans="2:5" x14ac:dyDescent="0.25">
      <c r="B27" s="152"/>
      <c r="C27" s="151"/>
      <c r="D27" s="151"/>
      <c r="E27" s="151"/>
    </row>
    <row r="28" spans="2:5" x14ac:dyDescent="0.25">
      <c r="B28" s="150" t="s">
        <v>1002</v>
      </c>
      <c r="C28" s="151"/>
      <c r="D28" s="151"/>
      <c r="E28" s="151"/>
    </row>
    <row r="29" spans="2:5" x14ac:dyDescent="0.25">
      <c r="B29" s="152" t="s">
        <v>1003</v>
      </c>
      <c r="C29" s="156">
        <v>-858723</v>
      </c>
      <c r="D29" s="156">
        <v>-756168</v>
      </c>
      <c r="E29" s="156"/>
    </row>
    <row r="30" spans="2:5" x14ac:dyDescent="0.25">
      <c r="B30" s="152" t="s">
        <v>1004</v>
      </c>
      <c r="C30" s="156">
        <v>-131535</v>
      </c>
      <c r="D30" s="156">
        <v>-176506</v>
      </c>
      <c r="E30" s="156"/>
    </row>
    <row r="31" spans="2:5" x14ac:dyDescent="0.25">
      <c r="B31" s="152" t="s">
        <v>1005</v>
      </c>
      <c r="C31" s="151"/>
      <c r="D31" s="151"/>
      <c r="E31" s="151"/>
    </row>
    <row r="32" spans="2:5" x14ac:dyDescent="0.25">
      <c r="B32" s="152" t="s">
        <v>1006</v>
      </c>
      <c r="C32" s="156">
        <v>-196366</v>
      </c>
      <c r="D32" s="156">
        <v>-161557</v>
      </c>
      <c r="E32" s="156"/>
    </row>
    <row r="33" spans="2:5" x14ac:dyDescent="0.25">
      <c r="B33" s="152"/>
      <c r="C33" s="151"/>
      <c r="D33" s="151"/>
      <c r="E33" s="151"/>
    </row>
    <row r="34" spans="2:5" x14ac:dyDescent="0.25">
      <c r="B34" s="153" t="s">
        <v>1007</v>
      </c>
      <c r="C34" s="157">
        <v>-1186624</v>
      </c>
      <c r="D34" s="157">
        <v>-1094231</v>
      </c>
      <c r="E34" s="157"/>
    </row>
    <row r="35" spans="2:5" x14ac:dyDescent="0.25">
      <c r="B35" s="152"/>
      <c r="C35" s="151"/>
      <c r="D35" s="151"/>
      <c r="E35" s="151"/>
    </row>
    <row r="36" spans="2:5" x14ac:dyDescent="0.25">
      <c r="B36" s="153" t="s">
        <v>1008</v>
      </c>
      <c r="C36" s="157">
        <v>1572648</v>
      </c>
      <c r="D36" s="157">
        <v>1658136</v>
      </c>
      <c r="E36" s="157"/>
    </row>
    <row r="37" spans="2:5" x14ac:dyDescent="0.25">
      <c r="B37" s="152"/>
      <c r="C37" s="151"/>
      <c r="D37" s="151"/>
      <c r="E37" s="151"/>
    </row>
    <row r="38" spans="2:5" x14ac:dyDescent="0.25">
      <c r="B38" s="150" t="s">
        <v>1009</v>
      </c>
      <c r="C38" s="151"/>
      <c r="D38" s="151"/>
      <c r="E38" s="151"/>
    </row>
    <row r="39" spans="2:5" x14ac:dyDescent="0.25">
      <c r="B39" s="152"/>
      <c r="C39" s="151"/>
      <c r="D39" s="151"/>
      <c r="E39" s="151"/>
    </row>
    <row r="40" spans="2:5" x14ac:dyDescent="0.25">
      <c r="B40" s="152" t="s">
        <v>1010</v>
      </c>
      <c r="C40" s="156">
        <v>-2395308</v>
      </c>
      <c r="D40" s="156">
        <v>-229202</v>
      </c>
      <c r="E40" s="156"/>
    </row>
    <row r="41" spans="2:5" x14ac:dyDescent="0.25">
      <c r="B41" s="152" t="s">
        <v>1011</v>
      </c>
      <c r="C41" s="156">
        <v>-2395308</v>
      </c>
      <c r="D41" s="156">
        <v>-229202</v>
      </c>
      <c r="E41" s="156"/>
    </row>
    <row r="42" spans="2:5" x14ac:dyDescent="0.25">
      <c r="B42" s="152" t="s">
        <v>1012</v>
      </c>
      <c r="C42" s="151"/>
      <c r="D42" s="151"/>
      <c r="E42" s="151"/>
    </row>
    <row r="43" spans="2:5" x14ac:dyDescent="0.25">
      <c r="B43" s="152"/>
      <c r="C43" s="151"/>
      <c r="D43" s="151"/>
      <c r="E43" s="151"/>
    </row>
    <row r="44" spans="2:5" x14ac:dyDescent="0.25">
      <c r="B44" s="152" t="s">
        <v>1013</v>
      </c>
      <c r="C44" s="156">
        <v>-573969</v>
      </c>
      <c r="D44" s="156">
        <v>-74585</v>
      </c>
      <c r="E44" s="156"/>
    </row>
    <row r="45" spans="2:5" x14ac:dyDescent="0.25">
      <c r="B45" s="152" t="s">
        <v>1011</v>
      </c>
      <c r="C45" s="156">
        <v>-579682</v>
      </c>
      <c r="D45" s="156">
        <v>-79096</v>
      </c>
      <c r="E45" s="156"/>
    </row>
    <row r="46" spans="2:5" x14ac:dyDescent="0.25">
      <c r="B46" s="152" t="s">
        <v>1012</v>
      </c>
      <c r="C46" s="156">
        <v>5713</v>
      </c>
      <c r="D46" s="156">
        <v>4511</v>
      </c>
      <c r="E46" s="156"/>
    </row>
    <row r="47" spans="2:5" x14ac:dyDescent="0.25">
      <c r="B47" s="152"/>
      <c r="C47" s="151"/>
      <c r="D47" s="151"/>
      <c r="E47" s="151"/>
    </row>
    <row r="48" spans="2:5" x14ac:dyDescent="0.25">
      <c r="B48" s="152" t="s">
        <v>1014</v>
      </c>
      <c r="C48" s="151">
        <v>-88</v>
      </c>
      <c r="D48" s="151">
        <v>-870</v>
      </c>
      <c r="E48" s="151"/>
    </row>
    <row r="49" spans="2:5" x14ac:dyDescent="0.25">
      <c r="B49" s="152" t="s">
        <v>1011</v>
      </c>
      <c r="C49" s="151">
        <v>-88</v>
      </c>
      <c r="D49" s="151">
        <v>-870</v>
      </c>
      <c r="E49" s="151"/>
    </row>
    <row r="50" spans="2:5" x14ac:dyDescent="0.25">
      <c r="B50" s="152" t="s">
        <v>1012</v>
      </c>
      <c r="C50" s="151"/>
      <c r="D50" s="151"/>
      <c r="E50" s="151"/>
    </row>
    <row r="51" spans="2:5" x14ac:dyDescent="0.25">
      <c r="B51" s="152"/>
      <c r="C51" s="151"/>
      <c r="D51" s="151"/>
      <c r="E51" s="151"/>
    </row>
    <row r="52" spans="2:5" x14ac:dyDescent="0.25">
      <c r="B52" s="152" t="s">
        <v>1015</v>
      </c>
      <c r="C52" s="156">
        <v>-11603</v>
      </c>
      <c r="D52" s="156">
        <v>-105454</v>
      </c>
      <c r="E52" s="156"/>
    </row>
    <row r="53" spans="2:5" x14ac:dyDescent="0.25">
      <c r="B53" s="152" t="s">
        <v>1011</v>
      </c>
      <c r="C53" s="156">
        <v>-11603</v>
      </c>
      <c r="D53" s="156">
        <v>-5454</v>
      </c>
      <c r="E53" s="156"/>
    </row>
    <row r="54" spans="2:5" x14ac:dyDescent="0.25">
      <c r="B54" s="152" t="s">
        <v>1012</v>
      </c>
      <c r="C54" s="151"/>
      <c r="D54" s="156">
        <v>-100000</v>
      </c>
      <c r="E54" s="156"/>
    </row>
    <row r="55" spans="2:5" x14ac:dyDescent="0.25">
      <c r="B55" s="153" t="s">
        <v>1016</v>
      </c>
      <c r="C55" s="157">
        <v>-2980968</v>
      </c>
      <c r="D55" s="157">
        <v>-410111</v>
      </c>
      <c r="E55" s="157"/>
    </row>
    <row r="56" spans="2:5" x14ac:dyDescent="0.25">
      <c r="B56" s="152"/>
      <c r="C56" s="151"/>
      <c r="D56" s="151"/>
      <c r="E56" s="151"/>
    </row>
    <row r="57" spans="2:5" x14ac:dyDescent="0.25">
      <c r="B57" s="150" t="s">
        <v>1017</v>
      </c>
      <c r="C57" s="151"/>
      <c r="D57" s="151"/>
      <c r="E57" s="151"/>
    </row>
    <row r="58" spans="2:5" x14ac:dyDescent="0.25">
      <c r="B58" s="150" t="s">
        <v>1018</v>
      </c>
      <c r="C58" s="151"/>
      <c r="D58" s="151"/>
      <c r="E58" s="151"/>
    </row>
    <row r="59" spans="2:5" x14ac:dyDescent="0.25">
      <c r="B59" s="152" t="s">
        <v>1019</v>
      </c>
      <c r="C59" s="156">
        <v>821590</v>
      </c>
      <c r="D59" s="156">
        <v>-80000</v>
      </c>
      <c r="E59" s="156"/>
    </row>
    <row r="60" spans="2:5" x14ac:dyDescent="0.25">
      <c r="B60" s="152" t="s">
        <v>1020</v>
      </c>
      <c r="C60" s="156">
        <v>1312444</v>
      </c>
      <c r="D60" s="151"/>
      <c r="E60" s="151"/>
    </row>
    <row r="61" spans="2:5" x14ac:dyDescent="0.25">
      <c r="B61" s="152" t="s">
        <v>1021</v>
      </c>
      <c r="C61" s="151"/>
      <c r="D61" s="156">
        <v>-791875</v>
      </c>
      <c r="E61" s="156"/>
    </row>
    <row r="62" spans="2:5" x14ac:dyDescent="0.25">
      <c r="B62" s="150" t="s">
        <v>1022</v>
      </c>
      <c r="C62" s="151"/>
      <c r="D62" s="151"/>
      <c r="E62" s="151"/>
    </row>
    <row r="63" spans="2:5" x14ac:dyDescent="0.25">
      <c r="B63" s="152" t="s">
        <v>1023</v>
      </c>
      <c r="C63" s="151">
        <v>-2</v>
      </c>
      <c r="D63" s="151">
        <v>1</v>
      </c>
      <c r="E63" s="151"/>
    </row>
    <row r="64" spans="2:5" ht="24" x14ac:dyDescent="0.25">
      <c r="B64" s="153" t="s">
        <v>1024</v>
      </c>
      <c r="C64" s="157">
        <v>2134032</v>
      </c>
      <c r="D64" s="157">
        <v>-871874</v>
      </c>
      <c r="E64" s="157"/>
    </row>
    <row r="65" spans="2:22" x14ac:dyDescent="0.25">
      <c r="B65" s="152"/>
      <c r="C65" s="151"/>
      <c r="D65" s="151"/>
      <c r="E65" s="151"/>
    </row>
    <row r="66" spans="2:22" ht="24" x14ac:dyDescent="0.25">
      <c r="B66" s="150" t="s">
        <v>1025</v>
      </c>
      <c r="C66" s="156">
        <v>725712</v>
      </c>
      <c r="D66" s="156">
        <v>376151</v>
      </c>
      <c r="E66" s="156"/>
    </row>
    <row r="67" spans="2:22" x14ac:dyDescent="0.25">
      <c r="B67" s="152"/>
      <c r="C67" s="151"/>
      <c r="D67" s="151"/>
      <c r="E67" s="151"/>
    </row>
    <row r="68" spans="2:22" x14ac:dyDescent="0.25">
      <c r="B68" s="152" t="s">
        <v>1026</v>
      </c>
      <c r="C68" s="156">
        <v>543540</v>
      </c>
      <c r="D68" s="156">
        <v>167389</v>
      </c>
      <c r="E68" s="156"/>
    </row>
    <row r="69" spans="2:22" x14ac:dyDescent="0.25">
      <c r="B69" s="152" t="s">
        <v>1027</v>
      </c>
      <c r="C69" s="156">
        <v>1269252</v>
      </c>
      <c r="D69" s="156">
        <v>543540</v>
      </c>
      <c r="E69" s="156"/>
    </row>
    <row r="70" spans="2:22" ht="24" x14ac:dyDescent="0.25">
      <c r="B70" s="153" t="s">
        <v>1028</v>
      </c>
      <c r="C70" s="157">
        <v>725712</v>
      </c>
      <c r="D70" s="157">
        <v>376151</v>
      </c>
      <c r="E70" s="157"/>
    </row>
    <row r="73" spans="2:22" ht="15.75" thickBot="1" x14ac:dyDescent="0.3"/>
    <row r="74" spans="2:22" ht="15.75" thickBot="1" x14ac:dyDescent="0.3">
      <c r="G74" s="334" t="s">
        <v>1094</v>
      </c>
      <c r="H74" s="366"/>
      <c r="I74" s="335"/>
      <c r="J74" s="335"/>
      <c r="M74" s="334" t="s">
        <v>1094</v>
      </c>
      <c r="N74" s="335"/>
      <c r="O74" s="335"/>
      <c r="P74" s="335"/>
      <c r="Q74" s="335"/>
      <c r="T74" s="334" t="s">
        <v>1094</v>
      </c>
      <c r="U74" s="335"/>
      <c r="V74" s="335"/>
    </row>
    <row r="75" spans="2:22" x14ac:dyDescent="0.25">
      <c r="G75" s="335"/>
      <c r="H75" s="366"/>
      <c r="I75" s="335"/>
      <c r="J75" s="335"/>
      <c r="M75" s="335"/>
      <c r="N75" s="335"/>
      <c r="O75" s="335"/>
      <c r="P75" s="335"/>
      <c r="Q75" s="335"/>
      <c r="T75" s="335"/>
      <c r="U75" s="335"/>
      <c r="V75" s="335"/>
    </row>
    <row r="76" spans="2:22" x14ac:dyDescent="0.25">
      <c r="G76" s="336" t="s">
        <v>1394</v>
      </c>
      <c r="H76" s="367"/>
      <c r="I76" s="380">
        <v>42004</v>
      </c>
      <c r="J76" s="380">
        <v>41639</v>
      </c>
      <c r="M76" s="336" t="s">
        <v>1394</v>
      </c>
      <c r="N76" s="380">
        <v>42004</v>
      </c>
      <c r="O76" s="337" t="s">
        <v>1386</v>
      </c>
      <c r="P76" s="337" t="s">
        <v>1370</v>
      </c>
      <c r="Q76" s="380">
        <v>42004</v>
      </c>
      <c r="T76" s="336" t="s">
        <v>1394</v>
      </c>
      <c r="U76" s="380">
        <v>42004</v>
      </c>
      <c r="V76" s="380">
        <v>42369</v>
      </c>
    </row>
    <row r="77" spans="2:22" x14ac:dyDescent="0.25">
      <c r="G77" s="338"/>
      <c r="H77" s="368"/>
      <c r="I77" s="341" t="s">
        <v>1396</v>
      </c>
      <c r="J77" s="341" t="s">
        <v>1396</v>
      </c>
      <c r="M77" s="338"/>
      <c r="N77" s="341" t="s">
        <v>1369</v>
      </c>
      <c r="O77" s="341"/>
      <c r="P77" s="340" t="s">
        <v>67</v>
      </c>
      <c r="Q77" s="341" t="s">
        <v>1115</v>
      </c>
      <c r="T77" s="338"/>
      <c r="U77" s="341" t="s">
        <v>1115</v>
      </c>
      <c r="V77" s="341" t="s">
        <v>1115</v>
      </c>
    </row>
    <row r="78" spans="2:22" x14ac:dyDescent="0.25">
      <c r="G78" s="342" t="s">
        <v>1095</v>
      </c>
      <c r="H78" s="369">
        <f>+I78</f>
        <v>543540.46</v>
      </c>
      <c r="I78" s="343">
        <f>'Tabelle SP e CE appendice A'!D19</f>
        <v>543540.46</v>
      </c>
      <c r="J78" s="343">
        <v>167389</v>
      </c>
      <c r="K78" s="215"/>
      <c r="M78" s="342" t="s">
        <v>1095</v>
      </c>
      <c r="N78" s="343">
        <f>+I78</f>
        <v>543540.46</v>
      </c>
      <c r="O78" s="343"/>
      <c r="P78" s="343">
        <f>+Q78-N78</f>
        <v>0</v>
      </c>
      <c r="Q78" s="343">
        <f>+U78</f>
        <v>543540.46</v>
      </c>
      <c r="T78" s="342" t="s">
        <v>1095</v>
      </c>
      <c r="U78" s="343">
        <f>'situazione patrimoniale finanzi'!F21</f>
        <v>543540.46</v>
      </c>
      <c r="V78" s="343">
        <f ca="1">'situazione patrimoniale finanzi'!E21</f>
        <v>1269251.43</v>
      </c>
    </row>
    <row r="79" spans="2:22" x14ac:dyDescent="0.25">
      <c r="G79" s="344"/>
      <c r="H79" s="370"/>
      <c r="I79" s="345"/>
      <c r="J79" s="345"/>
      <c r="K79" s="215"/>
      <c r="M79" s="344"/>
      <c r="N79" s="345"/>
      <c r="O79" s="345"/>
      <c r="P79" s="345"/>
      <c r="Q79" s="345"/>
      <c r="T79" s="344"/>
      <c r="U79" s="345"/>
      <c r="V79" s="345"/>
    </row>
    <row r="80" spans="2:22" s="386" customFormat="1" x14ac:dyDescent="0.25">
      <c r="G80" s="381" t="s">
        <v>1096</v>
      </c>
      <c r="H80" s="382"/>
      <c r="I80" s="383"/>
      <c r="J80" s="383"/>
      <c r="K80" s="384"/>
      <c r="L80" s="385"/>
      <c r="M80" s="381" t="s">
        <v>1096</v>
      </c>
      <c r="N80" s="383"/>
      <c r="O80" s="383"/>
      <c r="P80" s="383"/>
      <c r="Q80" s="383"/>
      <c r="T80" s="381" t="s">
        <v>1096</v>
      </c>
      <c r="U80" s="383"/>
      <c r="V80" s="383"/>
    </row>
    <row r="81" spans="7:22" x14ac:dyDescent="0.25">
      <c r="G81" s="346" t="s">
        <v>1097</v>
      </c>
      <c r="H81" s="371">
        <f>+I81</f>
        <v>81300</v>
      </c>
      <c r="I81" s="347">
        <f>C4</f>
        <v>81300</v>
      </c>
      <c r="J81" s="347">
        <f>D4</f>
        <v>52297</v>
      </c>
      <c r="K81" s="215"/>
      <c r="M81" s="346" t="s">
        <v>1097</v>
      </c>
      <c r="N81" s="347">
        <f t="shared" ref="N81:N93" si="0">+I81</f>
        <v>81300</v>
      </c>
      <c r="O81" s="347"/>
      <c r="P81" s="347">
        <f>+Q81-N81-O81</f>
        <v>-282038.04368493997</v>
      </c>
      <c r="Q81" s="347">
        <f t="shared" ref="Q81:Q93" si="1">+U81</f>
        <v>-200738.04368493997</v>
      </c>
      <c r="T81" s="346" t="s">
        <v>1097</v>
      </c>
      <c r="U81" s="347">
        <f>'Calcolcolo rendic 2014'!R10</f>
        <v>-200738.04368493997</v>
      </c>
      <c r="V81" s="347">
        <f>'Calcolcolo rendic 2015'!R10</f>
        <v>150098.33363902569</v>
      </c>
    </row>
    <row r="82" spans="7:22" x14ac:dyDescent="0.25">
      <c r="G82" s="346" t="s">
        <v>1098</v>
      </c>
      <c r="H82" s="371"/>
      <c r="I82" s="347"/>
      <c r="J82" s="347"/>
      <c r="K82" s="215"/>
      <c r="M82" s="346" t="s">
        <v>1098</v>
      </c>
      <c r="N82" s="347">
        <f t="shared" si="0"/>
        <v>0</v>
      </c>
      <c r="O82" s="347"/>
      <c r="P82" s="347">
        <f t="shared" ref="P82:P117" si="2">+Q82-N82-O82</f>
        <v>0</v>
      </c>
      <c r="Q82" s="347">
        <f t="shared" si="1"/>
        <v>0</v>
      </c>
      <c r="T82" s="346" t="s">
        <v>1098</v>
      </c>
      <c r="U82" s="347"/>
      <c r="V82" s="347"/>
    </row>
    <row r="83" spans="7:22" x14ac:dyDescent="0.25">
      <c r="G83" s="348" t="s">
        <v>41</v>
      </c>
      <c r="H83" s="371">
        <f>+C12</f>
        <v>603381</v>
      </c>
      <c r="I83" s="347">
        <f>C12</f>
        <v>603381</v>
      </c>
      <c r="J83" s="347">
        <f>D12</f>
        <v>602294</v>
      </c>
      <c r="K83" s="215"/>
      <c r="M83" s="348" t="s">
        <v>41</v>
      </c>
      <c r="N83" s="347">
        <f t="shared" si="0"/>
        <v>603381</v>
      </c>
      <c r="O83" s="347"/>
      <c r="P83" s="347">
        <f t="shared" si="2"/>
        <v>87400.230750373797</v>
      </c>
      <c r="Q83" s="347">
        <f t="shared" si="1"/>
        <v>690781.2307503738</v>
      </c>
      <c r="T83" s="348" t="s">
        <v>41</v>
      </c>
      <c r="U83" s="347">
        <f>'Calcolcolo rendic 2014'!R12+'Calcolcolo rendic 2014'!R13</f>
        <v>690781.2307503738</v>
      </c>
      <c r="V83" s="347">
        <f>'Calcolcolo rendic 2015'!R12+'Calcolcolo rendic 2015'!R13</f>
        <v>914725.37772488373</v>
      </c>
    </row>
    <row r="84" spans="7:22" x14ac:dyDescent="0.25">
      <c r="G84" s="349" t="s">
        <v>1377</v>
      </c>
      <c r="H84" s="371"/>
      <c r="I84" s="347"/>
      <c r="J84" s="347"/>
      <c r="K84" s="215"/>
      <c r="M84" s="349" t="s">
        <v>1377</v>
      </c>
      <c r="N84" s="347">
        <f t="shared" si="0"/>
        <v>0</v>
      </c>
      <c r="O84" s="347"/>
      <c r="P84" s="347">
        <f t="shared" si="2"/>
        <v>-13777</v>
      </c>
      <c r="Q84" s="347">
        <f t="shared" si="1"/>
        <v>-13777</v>
      </c>
      <c r="T84" s="349" t="s">
        <v>1377</v>
      </c>
      <c r="U84" s="347">
        <f>'Calcolcolo rendic 2014'!R14</f>
        <v>-13777</v>
      </c>
      <c r="V84" s="347">
        <f>'Calcolcolo rendic 2015'!R14</f>
        <v>-1976</v>
      </c>
    </row>
    <row r="85" spans="7:22" x14ac:dyDescent="0.25">
      <c r="G85" s="350" t="s">
        <v>1387</v>
      </c>
      <c r="H85" s="371">
        <f>+'Tabelle SP e CE appendice A'!D31-'Tabelle SP e CE appendice A'!J31</f>
        <v>55750.53</v>
      </c>
      <c r="I85" s="347">
        <f>C11+C32</f>
        <v>9383</v>
      </c>
      <c r="J85" s="347">
        <f>D11+D32</f>
        <v>2589</v>
      </c>
      <c r="K85" s="215"/>
      <c r="M85" s="350" t="s">
        <v>1387</v>
      </c>
      <c r="N85" s="347">
        <f t="shared" si="0"/>
        <v>9383</v>
      </c>
      <c r="O85" s="347"/>
      <c r="P85" s="347">
        <f t="shared" ca="1" si="2"/>
        <v>-22423.189999999973</v>
      </c>
      <c r="Q85" s="347">
        <f t="shared" ca="1" si="1"/>
        <v>-13040.189999999973</v>
      </c>
      <c r="S85" t="s">
        <v>1379</v>
      </c>
      <c r="T85" s="350" t="s">
        <v>1387</v>
      </c>
      <c r="U85" s="347">
        <f ca="1">'Calcolcolo rendic 2014'!R24</f>
        <v>-13040.189999999973</v>
      </c>
      <c r="V85" s="347">
        <f ca="1">'Calcolcolo rendic 2015'!R24</f>
        <v>76882.089999999967</v>
      </c>
    </row>
    <row r="86" spans="7:22" x14ac:dyDescent="0.25">
      <c r="G86" s="350" t="s">
        <v>1099</v>
      </c>
      <c r="H86" s="371">
        <f>-'Tabelle SP e CE appendice A'!J32+'Tabelle SP e CE appendice A'!D32</f>
        <v>-53927.620000000112</v>
      </c>
      <c r="I86" s="347">
        <f>C14+C5+C30</f>
        <v>182104</v>
      </c>
      <c r="J86" s="347">
        <f>D14+D5+D30</f>
        <v>141903</v>
      </c>
      <c r="K86" s="215"/>
      <c r="M86" s="350" t="s">
        <v>1099</v>
      </c>
      <c r="N86" s="347">
        <f t="shared" si="0"/>
        <v>182104</v>
      </c>
      <c r="O86" s="347"/>
      <c r="P86" s="347">
        <f t="shared" ca="1" si="2"/>
        <v>-98393.25</v>
      </c>
      <c r="Q86" s="347">
        <f t="shared" ca="1" si="1"/>
        <v>83710.75</v>
      </c>
      <c r="T86" s="350" t="s">
        <v>1099</v>
      </c>
      <c r="U86" s="347">
        <f ca="1">'Calcolcolo rendic 2014'!R23</f>
        <v>83710.75</v>
      </c>
      <c r="V86" s="347">
        <f ca="1">'Calcolcolo rendic 2015'!R23</f>
        <v>29908.969999999972</v>
      </c>
    </row>
    <row r="87" spans="7:22" ht="23.25" x14ac:dyDescent="0.25">
      <c r="G87" s="351" t="s">
        <v>1100</v>
      </c>
      <c r="H87" s="373">
        <f>SUM(H81:H86)</f>
        <v>686503.90999999992</v>
      </c>
      <c r="I87" s="353">
        <f>SUM(I81:I86)</f>
        <v>876168</v>
      </c>
      <c r="J87" s="353">
        <f>SUM(J81:J86)</f>
        <v>799083</v>
      </c>
      <c r="K87" s="215"/>
      <c r="M87" s="351" t="s">
        <v>1100</v>
      </c>
      <c r="N87" s="353">
        <f t="shared" si="0"/>
        <v>876168</v>
      </c>
      <c r="O87" s="353">
        <f>SUM(O81:O86)</f>
        <v>0</v>
      </c>
      <c r="P87" s="353">
        <f t="shared" ca="1" si="2"/>
        <v>-329231.25293456612</v>
      </c>
      <c r="Q87" s="353">
        <f t="shared" ca="1" si="1"/>
        <v>546936.74706543388</v>
      </c>
      <c r="T87" s="351" t="s">
        <v>1100</v>
      </c>
      <c r="U87" s="353">
        <f ca="1">SUM(U81:U86)</f>
        <v>546936.74706543388</v>
      </c>
      <c r="V87" s="353">
        <f ca="1">SUM(V81:V86)</f>
        <v>1169638.7713639091</v>
      </c>
    </row>
    <row r="88" spans="7:22" x14ac:dyDescent="0.25">
      <c r="G88" s="354" t="s">
        <v>1101</v>
      </c>
      <c r="H88" s="371">
        <f>+I88</f>
        <v>-392901</v>
      </c>
      <c r="I88" s="347">
        <f t="shared" ref="I88:J90" si="3">C19</f>
        <v>-392901</v>
      </c>
      <c r="J88" s="347">
        <f t="shared" si="3"/>
        <v>-441765</v>
      </c>
      <c r="K88" s="215"/>
      <c r="M88" s="354" t="s">
        <v>1101</v>
      </c>
      <c r="N88" s="347">
        <f t="shared" si="0"/>
        <v>-392901</v>
      </c>
      <c r="O88" s="347"/>
      <c r="P88" s="347">
        <f t="shared" ca="1" si="2"/>
        <v>0</v>
      </c>
      <c r="Q88" s="347">
        <f t="shared" ca="1" si="1"/>
        <v>-392901</v>
      </c>
      <c r="T88" s="354" t="s">
        <v>1101</v>
      </c>
      <c r="U88" s="347">
        <f ca="1">'Calcolcolo rendic 2014'!R20</f>
        <v>-392901</v>
      </c>
      <c r="V88" s="347">
        <f ca="1">'Calcolcolo rendic 2015'!R20</f>
        <v>-779580</v>
      </c>
    </row>
    <row r="89" spans="7:22" x14ac:dyDescent="0.25">
      <c r="G89" s="354" t="s">
        <v>1102</v>
      </c>
      <c r="H89" s="371">
        <f>+I89</f>
        <v>-304506</v>
      </c>
      <c r="I89" s="347">
        <f t="shared" si="3"/>
        <v>-304506</v>
      </c>
      <c r="J89" s="347">
        <f t="shared" si="3"/>
        <v>-591888</v>
      </c>
      <c r="K89" s="215"/>
      <c r="M89" s="354" t="s">
        <v>1102</v>
      </c>
      <c r="N89" s="347">
        <f t="shared" si="0"/>
        <v>-304506</v>
      </c>
      <c r="O89" s="347">
        <v>-61471.82</v>
      </c>
      <c r="P89" s="347">
        <f t="shared" ca="1" si="2"/>
        <v>-2.9831426218152046E-10</v>
      </c>
      <c r="Q89" s="347">
        <f t="shared" ca="1" si="1"/>
        <v>-365977.8200000003</v>
      </c>
      <c r="S89" t="s">
        <v>1380</v>
      </c>
      <c r="T89" s="354" t="s">
        <v>1102</v>
      </c>
      <c r="U89" s="347">
        <f ca="1">'Calcolcolo rendic 2014'!R19</f>
        <v>-365977.8200000003</v>
      </c>
      <c r="V89" s="347">
        <f ca="1">'Calcolcolo rendic 2015'!R19</f>
        <v>-677716.20999999903</v>
      </c>
    </row>
    <row r="90" spans="7:22" x14ac:dyDescent="0.25">
      <c r="G90" s="344" t="s">
        <v>1103</v>
      </c>
      <c r="H90" s="371">
        <f>+I90</f>
        <v>2019138</v>
      </c>
      <c r="I90" s="347">
        <f t="shared" si="3"/>
        <v>2019138</v>
      </c>
      <c r="J90" s="347">
        <f t="shared" si="3"/>
        <v>699236</v>
      </c>
      <c r="K90" s="215"/>
      <c r="M90" s="344" t="s">
        <v>1103</v>
      </c>
      <c r="N90" s="347">
        <f t="shared" si="0"/>
        <v>2019138</v>
      </c>
      <c r="O90" s="347">
        <v>24375</v>
      </c>
      <c r="P90" s="347">
        <f t="shared" ca="1" si="2"/>
        <v>8.9999999850988388E-2</v>
      </c>
      <c r="Q90" s="347">
        <f t="shared" ca="1" si="1"/>
        <v>2043513.0899999999</v>
      </c>
      <c r="S90" t="s">
        <v>1381</v>
      </c>
      <c r="T90" s="344" t="s">
        <v>1103</v>
      </c>
      <c r="U90" s="347">
        <f ca="1">'Calcolcolo rendic 2014'!R21</f>
        <v>2043513.0899999999</v>
      </c>
      <c r="V90" s="347">
        <f ca="1">'Calcolcolo rendic 2015'!R21</f>
        <v>-456061.75</v>
      </c>
    </row>
    <row r="91" spans="7:22" x14ac:dyDescent="0.25">
      <c r="G91" s="354" t="s">
        <v>1382</v>
      </c>
      <c r="H91" s="371">
        <f>+'Tabelle SP e CE appendice A'!D12-'Tabelle SP e CE appendice A'!J12+'Tabelle SP e CE appendice A'!D18-'Tabelle SP e CE appendice A'!J18+'Tabelle SP e CE appendice A'!D17-'Tabelle SP e CE appendice A'!J17+'Tabelle SP e CE appendice A'!D11-'Tabelle SP e CE appendice A'!J11+'Tabelle SP e CE appendice A'!J33-'Tabelle SP e CE appendice A'!D33+'Tabelle SP e CE appendice A'!J38-'Tabelle SP e CE appendice A'!D38+'Tabelle SP e CE appendice A'!J39-'Tabelle SP e CE appendice A'!D39-H106</f>
        <v>-476248.44000000041</v>
      </c>
      <c r="I91" s="347">
        <f>C23+C24+C22</f>
        <v>-625251</v>
      </c>
      <c r="J91" s="347">
        <f>D23+D24+D22</f>
        <v>1193470</v>
      </c>
      <c r="K91" s="215"/>
      <c r="M91" s="354" t="s">
        <v>1382</v>
      </c>
      <c r="N91" s="347">
        <f t="shared" si="0"/>
        <v>-625251</v>
      </c>
      <c r="O91" s="347">
        <f>-O90-O89</f>
        <v>37096.82</v>
      </c>
      <c r="P91" s="347">
        <f t="shared" ca="1" si="2"/>
        <v>-10352.59706545894</v>
      </c>
      <c r="Q91" s="347">
        <f t="shared" ca="1" si="1"/>
        <v>-598506.77706545894</v>
      </c>
      <c r="T91" s="354" t="s">
        <v>1382</v>
      </c>
      <c r="U91" s="347">
        <f ca="1">'Calcolcolo rendic 2014'!R22+'Calcolcolo rendic 2014'!R25</f>
        <v>-598506.77706545894</v>
      </c>
      <c r="V91" s="347">
        <f ca="1">'Calcolcolo rendic 2015'!R22+'Calcolcolo rendic 2015'!R25</f>
        <v>-173812.42636392533</v>
      </c>
    </row>
    <row r="92" spans="7:22" ht="23.25" x14ac:dyDescent="0.25">
      <c r="G92" s="351" t="s">
        <v>1104</v>
      </c>
      <c r="H92" s="373">
        <f>SUM(H88:H91)</f>
        <v>845482.55999999959</v>
      </c>
      <c r="I92" s="353">
        <f>SUM(I88:I91)</f>
        <v>696480</v>
      </c>
      <c r="J92" s="353">
        <f>SUM(J88:J91)</f>
        <v>859053</v>
      </c>
      <c r="K92" s="215"/>
      <c r="M92" s="351" t="s">
        <v>1104</v>
      </c>
      <c r="N92" s="353">
        <f t="shared" si="0"/>
        <v>696480</v>
      </c>
      <c r="O92" s="353">
        <f>SUM(O88:O91)</f>
        <v>0</v>
      </c>
      <c r="P92" s="353">
        <f t="shared" ca="1" si="2"/>
        <v>-10352.507065459387</v>
      </c>
      <c r="Q92" s="353">
        <f t="shared" ca="1" si="1"/>
        <v>686127.49293454061</v>
      </c>
      <c r="T92" s="351" t="s">
        <v>1104</v>
      </c>
      <c r="U92" s="353">
        <f ca="1">SUM(U88:U91)</f>
        <v>686127.49293454061</v>
      </c>
      <c r="V92" s="353">
        <f ca="1">SUM(V88:V91)</f>
        <v>-2087170.3863639245</v>
      </c>
    </row>
    <row r="93" spans="7:22" x14ac:dyDescent="0.25">
      <c r="G93" s="352" t="s">
        <v>1105</v>
      </c>
      <c r="H93" s="373">
        <f>H87+H92</f>
        <v>1531986.4699999995</v>
      </c>
      <c r="I93" s="353">
        <f>I87+I92</f>
        <v>1572648</v>
      </c>
      <c r="J93" s="353">
        <f>J87+J92</f>
        <v>1658136</v>
      </c>
      <c r="K93" s="215"/>
      <c r="M93" s="352" t="s">
        <v>1105</v>
      </c>
      <c r="N93" s="353">
        <f t="shared" si="0"/>
        <v>1572648</v>
      </c>
      <c r="O93" s="353"/>
      <c r="P93" s="353">
        <f t="shared" ca="1" si="2"/>
        <v>-339583.76000002539</v>
      </c>
      <c r="Q93" s="353">
        <f t="shared" ca="1" si="1"/>
        <v>1233064.2399999746</v>
      </c>
      <c r="T93" s="352" t="s">
        <v>1105</v>
      </c>
      <c r="U93" s="353">
        <f ca="1">U87+U92</f>
        <v>1233064.2399999746</v>
      </c>
      <c r="V93" s="353">
        <f ca="1">V87+V92</f>
        <v>-917531.61500001536</v>
      </c>
    </row>
    <row r="94" spans="7:22" x14ac:dyDescent="0.25">
      <c r="G94" s="352"/>
      <c r="H94" s="373"/>
      <c r="I94" s="353"/>
      <c r="J94" s="353"/>
      <c r="K94" s="215"/>
      <c r="M94" s="352"/>
      <c r="N94" s="353"/>
      <c r="O94" s="353"/>
      <c r="P94" s="353"/>
      <c r="Q94" s="353"/>
      <c r="T94" s="352"/>
      <c r="U94" s="353"/>
      <c r="V94" s="353"/>
    </row>
    <row r="95" spans="7:22" s="386" customFormat="1" x14ac:dyDescent="0.25">
      <c r="G95" s="381" t="s">
        <v>1106</v>
      </c>
      <c r="H95" s="382"/>
      <c r="I95" s="383"/>
      <c r="J95" s="383"/>
      <c r="K95" s="384"/>
      <c r="L95" s="385"/>
      <c r="M95" s="381" t="s">
        <v>1106</v>
      </c>
      <c r="N95" s="383"/>
      <c r="O95" s="383"/>
      <c r="P95" s="383"/>
      <c r="Q95" s="383"/>
      <c r="T95" s="381" t="s">
        <v>1106</v>
      </c>
      <c r="U95" s="383"/>
      <c r="V95" s="383"/>
    </row>
    <row r="96" spans="7:22" x14ac:dyDescent="0.25">
      <c r="G96" s="339" t="s">
        <v>1010</v>
      </c>
      <c r="H96" s="372">
        <f>+'Tabelle SP e CE appendice A'!D8-'Tabelle SP e CE appendice A'!J8+'Tabelle SP e CE appendice A'!D9-'Tabelle SP e CE appendice A'!J9-H83+147150</f>
        <v>-2574483.0000000005</v>
      </c>
      <c r="I96" s="355">
        <f t="shared" ref="I96:J98" si="4">C40</f>
        <v>-2395308</v>
      </c>
      <c r="J96" s="355">
        <f t="shared" si="4"/>
        <v>-229202</v>
      </c>
      <c r="K96" s="215"/>
      <c r="M96" s="339" t="s">
        <v>1010</v>
      </c>
      <c r="N96" s="355">
        <f>+I96</f>
        <v>-2395308</v>
      </c>
      <c r="O96" s="355">
        <f>+O97</f>
        <v>-179176</v>
      </c>
      <c r="P96" s="355">
        <f t="shared" ca="1" si="2"/>
        <v>111926.95000000484</v>
      </c>
      <c r="Q96" s="355">
        <f t="shared" ref="Q96:Q108" ca="1" si="5">+U96</f>
        <v>-2462557.0499999952</v>
      </c>
      <c r="T96" s="339" t="s">
        <v>1010</v>
      </c>
      <c r="U96" s="355">
        <f ca="1">U97</f>
        <v>-2462557.0499999952</v>
      </c>
      <c r="V96" s="355">
        <f ca="1">V97</f>
        <v>-714148.37000000139</v>
      </c>
    </row>
    <row r="97" spans="7:22" x14ac:dyDescent="0.25">
      <c r="G97" s="356" t="s">
        <v>1011</v>
      </c>
      <c r="H97" s="372">
        <f>+H96</f>
        <v>-2574483.0000000005</v>
      </c>
      <c r="I97" s="355">
        <f t="shared" si="4"/>
        <v>-2395308</v>
      </c>
      <c r="J97" s="355">
        <f t="shared" si="4"/>
        <v>-229202</v>
      </c>
      <c r="K97" s="215"/>
      <c r="M97" s="356" t="s">
        <v>1011</v>
      </c>
      <c r="N97" s="355">
        <f>+I97</f>
        <v>-2395308</v>
      </c>
      <c r="O97" s="355">
        <f>-200697+27000-5479</f>
        <v>-179176</v>
      </c>
      <c r="P97" s="355">
        <f t="shared" ca="1" si="2"/>
        <v>111926.95000000484</v>
      </c>
      <c r="Q97" s="355">
        <f t="shared" ca="1" si="5"/>
        <v>-2462557.0499999952</v>
      </c>
      <c r="S97" t="s">
        <v>1383</v>
      </c>
      <c r="T97" s="356" t="s">
        <v>1011</v>
      </c>
      <c r="U97" s="355">
        <f ca="1">'Calcolcolo rendic 2014'!R31</f>
        <v>-2462557.0499999952</v>
      </c>
      <c r="V97" s="355">
        <f ca="1">'Calcolcolo rendic 2015'!R31</f>
        <v>-714148.37000000139</v>
      </c>
    </row>
    <row r="98" spans="7:22" x14ac:dyDescent="0.25">
      <c r="G98" s="356" t="s">
        <v>1012</v>
      </c>
      <c r="H98" s="372"/>
      <c r="I98" s="355">
        <f t="shared" si="4"/>
        <v>0</v>
      </c>
      <c r="J98" s="355">
        <f t="shared" si="4"/>
        <v>0</v>
      </c>
      <c r="K98" s="215"/>
      <c r="M98" s="356" t="s">
        <v>1012</v>
      </c>
      <c r="N98" s="355">
        <f>+I98</f>
        <v>0</v>
      </c>
      <c r="O98" s="355"/>
      <c r="P98" s="355">
        <f t="shared" si="2"/>
        <v>0</v>
      </c>
      <c r="Q98" s="355">
        <f t="shared" si="5"/>
        <v>0</v>
      </c>
      <c r="T98" s="356" t="s">
        <v>1012</v>
      </c>
      <c r="U98" s="355"/>
      <c r="V98" s="355"/>
    </row>
    <row r="99" spans="7:22" x14ac:dyDescent="0.25">
      <c r="G99" s="356" t="s">
        <v>1013</v>
      </c>
      <c r="H99" s="372">
        <f>+'Tabelle SP e CE appendice A'!D6-'Tabelle SP e CE appendice A'!J6+'Tabelle SP e CE appendice A'!D7-'Tabelle SP e CE appendice A'!J7-147150</f>
        <v>-312154.31999999995</v>
      </c>
      <c r="I99" s="355">
        <f t="shared" ref="I99:J101" si="6">C44</f>
        <v>-573969</v>
      </c>
      <c r="J99" s="355">
        <f t="shared" si="6"/>
        <v>-74585</v>
      </c>
      <c r="K99" s="215"/>
      <c r="M99" s="356" t="s">
        <v>1013</v>
      </c>
      <c r="N99" s="355">
        <f>+I99</f>
        <v>-573969</v>
      </c>
      <c r="O99" s="355">
        <f>-O96</f>
        <v>179176</v>
      </c>
      <c r="P99" s="355">
        <f t="shared" ca="1" si="2"/>
        <v>390993.19000000006</v>
      </c>
      <c r="Q99" s="355">
        <f t="shared" ca="1" si="5"/>
        <v>-3799.8099999999904</v>
      </c>
      <c r="S99" t="s">
        <v>1383</v>
      </c>
      <c r="T99" s="356" t="s">
        <v>1013</v>
      </c>
      <c r="U99" s="355">
        <f ca="1">U100</f>
        <v>-3799.8099999999904</v>
      </c>
      <c r="V99" s="355">
        <f ca="1">V100</f>
        <v>2.9999999998835847E-2</v>
      </c>
    </row>
    <row r="100" spans="7:22" x14ac:dyDescent="0.25">
      <c r="G100" s="356" t="s">
        <v>1011</v>
      </c>
      <c r="H100" s="372">
        <f>+H99</f>
        <v>-312154.31999999995</v>
      </c>
      <c r="I100" s="355">
        <f t="shared" si="6"/>
        <v>-579682</v>
      </c>
      <c r="J100" s="355">
        <f t="shared" si="6"/>
        <v>-79096</v>
      </c>
      <c r="K100" s="215"/>
      <c r="M100" s="356" t="s">
        <v>1011</v>
      </c>
      <c r="N100" s="355">
        <f>+I100+I101</f>
        <v>-573969</v>
      </c>
      <c r="O100" s="355">
        <f>-O97</f>
        <v>179176</v>
      </c>
      <c r="P100" s="355">
        <f t="shared" ca="1" si="2"/>
        <v>390993.19000000006</v>
      </c>
      <c r="Q100" s="355">
        <f t="shared" ca="1" si="5"/>
        <v>-3799.8099999999904</v>
      </c>
      <c r="S100" s="363" t="s">
        <v>1385</v>
      </c>
      <c r="T100" s="356" t="s">
        <v>1011</v>
      </c>
      <c r="U100" s="355">
        <f ca="1">'Calcolcolo rendic 2014'!R33</f>
        <v>-3799.8099999999904</v>
      </c>
      <c r="V100" s="355">
        <f ca="1">'Calcolcolo rendic 2015'!R33</f>
        <v>2.9999999998835847E-2</v>
      </c>
    </row>
    <row r="101" spans="7:22" x14ac:dyDescent="0.25">
      <c r="G101" s="356" t="s">
        <v>1012</v>
      </c>
      <c r="H101" s="372"/>
      <c r="I101" s="355">
        <f t="shared" si="6"/>
        <v>5713</v>
      </c>
      <c r="J101" s="355">
        <f t="shared" si="6"/>
        <v>4511</v>
      </c>
      <c r="K101" s="215"/>
      <c r="M101" s="356" t="s">
        <v>1012</v>
      </c>
      <c r="N101" s="355"/>
      <c r="O101" s="355"/>
      <c r="P101" s="355">
        <f t="shared" si="2"/>
        <v>0</v>
      </c>
      <c r="Q101" s="355">
        <f t="shared" si="5"/>
        <v>0</v>
      </c>
      <c r="S101" s="363" t="s">
        <v>1388</v>
      </c>
      <c r="T101" s="356" t="s">
        <v>1012</v>
      </c>
      <c r="U101" s="355"/>
      <c r="V101" s="355"/>
    </row>
    <row r="102" spans="7:22" x14ac:dyDescent="0.25">
      <c r="G102" s="356" t="s">
        <v>1014</v>
      </c>
      <c r="H102" s="372">
        <f>+'Tabelle SP e CE appendice A'!D10-'Tabelle SP e CE appendice A'!J10</f>
        <v>-250</v>
      </c>
      <c r="I102" s="355">
        <f t="shared" ref="I102:J104" si="7">C48</f>
        <v>-88</v>
      </c>
      <c r="J102" s="355">
        <f t="shared" si="7"/>
        <v>-870</v>
      </c>
      <c r="K102" s="215"/>
      <c r="M102" s="356" t="s">
        <v>1014</v>
      </c>
      <c r="N102" s="355">
        <f t="shared" ref="N102:N108" si="8">+I102</f>
        <v>-88</v>
      </c>
      <c r="O102" s="355">
        <f>+O103</f>
        <v>-162</v>
      </c>
      <c r="P102" s="355">
        <f t="shared" ca="1" si="2"/>
        <v>0</v>
      </c>
      <c r="Q102" s="355">
        <f t="shared" ca="1" si="5"/>
        <v>-250</v>
      </c>
      <c r="S102" s="219" t="s">
        <v>1372</v>
      </c>
      <c r="T102" s="356" t="s">
        <v>1014</v>
      </c>
      <c r="U102" s="355">
        <f ca="1">U103</f>
        <v>-250</v>
      </c>
      <c r="V102" s="355">
        <f ca="1">V103</f>
        <v>-300</v>
      </c>
    </row>
    <row r="103" spans="7:22" x14ac:dyDescent="0.25">
      <c r="G103" s="356" t="s">
        <v>1011</v>
      </c>
      <c r="H103" s="372"/>
      <c r="I103" s="355">
        <f t="shared" si="7"/>
        <v>-88</v>
      </c>
      <c r="J103" s="355">
        <f t="shared" si="7"/>
        <v>-870</v>
      </c>
      <c r="K103" s="215"/>
      <c r="M103" s="356" t="s">
        <v>1011</v>
      </c>
      <c r="N103" s="355">
        <f t="shared" si="8"/>
        <v>-88</v>
      </c>
      <c r="O103" s="355">
        <v>-162</v>
      </c>
      <c r="P103" s="355">
        <f t="shared" ca="1" si="2"/>
        <v>0</v>
      </c>
      <c r="Q103" s="355">
        <f t="shared" ca="1" si="5"/>
        <v>-250</v>
      </c>
      <c r="T103" s="356" t="s">
        <v>1011</v>
      </c>
      <c r="U103" s="355">
        <f ca="1">'Calcolcolo rendic 2014'!R35</f>
        <v>-250</v>
      </c>
      <c r="V103" s="355">
        <f ca="1">'Calcolcolo rendic 2015'!R35</f>
        <v>-300</v>
      </c>
    </row>
    <row r="104" spans="7:22" x14ac:dyDescent="0.25">
      <c r="G104" s="356" t="s">
        <v>1012</v>
      </c>
      <c r="H104" s="372"/>
      <c r="I104" s="355">
        <f t="shared" si="7"/>
        <v>0</v>
      </c>
      <c r="J104" s="355">
        <f t="shared" si="7"/>
        <v>0</v>
      </c>
      <c r="K104" s="215"/>
      <c r="M104" s="356" t="s">
        <v>1012</v>
      </c>
      <c r="N104" s="355">
        <f t="shared" si="8"/>
        <v>0</v>
      </c>
      <c r="O104" s="355"/>
      <c r="P104" s="355">
        <f t="shared" si="2"/>
        <v>0</v>
      </c>
      <c r="Q104" s="355">
        <f t="shared" si="5"/>
        <v>0</v>
      </c>
      <c r="T104" s="356" t="s">
        <v>1012</v>
      </c>
      <c r="U104" s="355"/>
      <c r="V104" s="355"/>
    </row>
    <row r="105" spans="7:22" x14ac:dyDescent="0.25">
      <c r="G105" s="356" t="s">
        <v>1373</v>
      </c>
      <c r="H105" s="372">
        <v>-11352</v>
      </c>
      <c r="I105" s="355">
        <f t="shared" ref="I105:J107" si="9">C52</f>
        <v>-11603</v>
      </c>
      <c r="J105" s="355">
        <f t="shared" si="9"/>
        <v>-105454</v>
      </c>
      <c r="K105" s="215"/>
      <c r="M105" s="356" t="s">
        <v>1373</v>
      </c>
      <c r="N105" s="355">
        <f t="shared" si="8"/>
        <v>-11603</v>
      </c>
      <c r="O105" s="355">
        <f>+O106</f>
        <v>162</v>
      </c>
      <c r="P105" s="355">
        <f t="shared" si="2"/>
        <v>88.559999999823049</v>
      </c>
      <c r="Q105" s="355">
        <f t="shared" si="5"/>
        <v>-11352.440000000177</v>
      </c>
      <c r="T105" s="356" t="s">
        <v>1373</v>
      </c>
      <c r="U105" s="355">
        <f>U106</f>
        <v>-11352.440000000177</v>
      </c>
      <c r="V105" s="355">
        <f>V106</f>
        <v>-5.9999999939464033E-2</v>
      </c>
    </row>
    <row r="106" spans="7:22" x14ac:dyDescent="0.25">
      <c r="G106" s="356" t="s">
        <v>1011</v>
      </c>
      <c r="H106" s="372">
        <f>+H105</f>
        <v>-11352</v>
      </c>
      <c r="I106" s="355">
        <f t="shared" si="9"/>
        <v>-11603</v>
      </c>
      <c r="J106" s="355">
        <f t="shared" si="9"/>
        <v>-5454</v>
      </c>
      <c r="K106" s="215"/>
      <c r="M106" s="356" t="s">
        <v>1011</v>
      </c>
      <c r="N106" s="355">
        <f t="shared" si="8"/>
        <v>-11603</v>
      </c>
      <c r="O106" s="355">
        <v>162</v>
      </c>
      <c r="P106" s="355">
        <f t="shared" si="2"/>
        <v>88.559999999823049</v>
      </c>
      <c r="Q106" s="355">
        <f t="shared" si="5"/>
        <v>-11352.440000000177</v>
      </c>
      <c r="T106" s="356" t="s">
        <v>1011</v>
      </c>
      <c r="U106" s="355">
        <f>+'Calcolcolo rendic 2014'!M37</f>
        <v>-11352.440000000177</v>
      </c>
      <c r="V106" s="355">
        <f>+'Calcolcolo rendic 2015'!M37</f>
        <v>-5.9999999939464033E-2</v>
      </c>
    </row>
    <row r="107" spans="7:22" x14ac:dyDescent="0.25">
      <c r="G107" s="348" t="s">
        <v>1012</v>
      </c>
      <c r="H107" s="372"/>
      <c r="I107" s="355">
        <f t="shared" si="9"/>
        <v>0</v>
      </c>
      <c r="J107" s="355">
        <f t="shared" si="9"/>
        <v>-100000</v>
      </c>
      <c r="K107" s="215"/>
      <c r="M107" s="348" t="s">
        <v>1012</v>
      </c>
      <c r="N107" s="355">
        <f t="shared" si="8"/>
        <v>0</v>
      </c>
      <c r="O107" s="355"/>
      <c r="P107" s="355">
        <f t="shared" si="2"/>
        <v>0</v>
      </c>
      <c r="Q107" s="355">
        <f t="shared" si="5"/>
        <v>0</v>
      </c>
      <c r="T107" s="348" t="s">
        <v>1012</v>
      </c>
      <c r="U107" s="355"/>
      <c r="V107" s="355"/>
    </row>
    <row r="108" spans="7:22" x14ac:dyDescent="0.25">
      <c r="G108" s="357" t="s">
        <v>1107</v>
      </c>
      <c r="H108" s="373">
        <f>H96+H99+H102+H105</f>
        <v>-2898239.3200000003</v>
      </c>
      <c r="I108" s="353">
        <f>I96+I99+I102+I105</f>
        <v>-2980968</v>
      </c>
      <c r="J108" s="353">
        <f>J96+J99+J102+J105</f>
        <v>-410111</v>
      </c>
      <c r="K108" s="215"/>
      <c r="M108" s="357" t="s">
        <v>1107</v>
      </c>
      <c r="N108" s="353">
        <f t="shared" si="8"/>
        <v>-2980968</v>
      </c>
      <c r="O108" s="353">
        <f>SUM(O96:O107)</f>
        <v>0</v>
      </c>
      <c r="P108" s="353">
        <f t="shared" ca="1" si="2"/>
        <v>503008.70000000484</v>
      </c>
      <c r="Q108" s="353">
        <f t="shared" ca="1" si="5"/>
        <v>-2477959.2999999952</v>
      </c>
      <c r="T108" s="357" t="s">
        <v>1107</v>
      </c>
      <c r="U108" s="353">
        <f ca="1">U96+U99+U102+U105</f>
        <v>-2477959.2999999952</v>
      </c>
      <c r="V108" s="353">
        <f ca="1">V96+V99+V102+V105</f>
        <v>-714448.4000000013</v>
      </c>
    </row>
    <row r="109" spans="7:22" x14ac:dyDescent="0.25">
      <c r="G109" s="357"/>
      <c r="H109" s="373"/>
      <c r="I109" s="353"/>
      <c r="J109" s="353"/>
      <c r="K109" s="215"/>
      <c r="M109" s="357"/>
      <c r="N109" s="353"/>
      <c r="O109" s="353"/>
      <c r="P109" s="353"/>
      <c r="Q109" s="353"/>
      <c r="T109" s="357"/>
      <c r="U109" s="353"/>
      <c r="V109" s="353"/>
    </row>
    <row r="110" spans="7:22" s="386" customFormat="1" x14ac:dyDescent="0.25">
      <c r="G110" s="381" t="s">
        <v>1108</v>
      </c>
      <c r="H110" s="373"/>
      <c r="I110" s="353"/>
      <c r="J110" s="353"/>
      <c r="K110" s="384"/>
      <c r="L110" s="385"/>
      <c r="M110" s="381" t="s">
        <v>1108</v>
      </c>
      <c r="N110" s="353"/>
      <c r="O110" s="353"/>
      <c r="P110" s="353"/>
      <c r="Q110" s="353"/>
      <c r="T110" s="381" t="s">
        <v>1108</v>
      </c>
      <c r="U110" s="353"/>
      <c r="V110" s="353"/>
    </row>
    <row r="111" spans="7:22" x14ac:dyDescent="0.25">
      <c r="G111" s="356" t="s">
        <v>1109</v>
      </c>
      <c r="H111" s="374"/>
      <c r="I111" s="358">
        <v>0</v>
      </c>
      <c r="J111" s="358"/>
      <c r="K111" s="215"/>
      <c r="M111" s="356" t="s">
        <v>1109</v>
      </c>
      <c r="N111" s="358">
        <f>+I111</f>
        <v>0</v>
      </c>
      <c r="O111" s="358"/>
      <c r="P111" s="358">
        <f t="shared" si="2"/>
        <v>0</v>
      </c>
      <c r="Q111" s="358">
        <f t="shared" ref="Q111:Q117" si="10">+U111</f>
        <v>0</v>
      </c>
      <c r="T111" s="356" t="s">
        <v>1109</v>
      </c>
      <c r="U111" s="358"/>
      <c r="V111" s="358"/>
    </row>
    <row r="112" spans="7:22" x14ac:dyDescent="0.25">
      <c r="G112" s="356" t="s">
        <v>1019</v>
      </c>
      <c r="H112" s="371">
        <v>466432</v>
      </c>
      <c r="I112" s="347">
        <f>C59-2</f>
        <v>821588</v>
      </c>
      <c r="J112" s="347">
        <f>D59+1</f>
        <v>-79999</v>
      </c>
      <c r="K112" s="215"/>
      <c r="M112" s="356" t="s">
        <v>1019</v>
      </c>
      <c r="N112" s="347">
        <f>+I112</f>
        <v>821588</v>
      </c>
      <c r="O112" s="347">
        <v>-355156</v>
      </c>
      <c r="P112" s="347">
        <f t="shared" ca="1" si="2"/>
        <v>-163424.49999999907</v>
      </c>
      <c r="Q112" s="347">
        <f t="shared" ca="1" si="10"/>
        <v>303007.50000000093</v>
      </c>
      <c r="S112" t="s">
        <v>1384</v>
      </c>
      <c r="T112" s="356" t="s">
        <v>1019</v>
      </c>
      <c r="U112" s="347">
        <f ca="1">'Calcolcolo rendic 2014'!R46</f>
        <v>303007.50000000093</v>
      </c>
      <c r="V112" s="347">
        <f ca="1">'Calcolcolo rendic 2015'!R46</f>
        <v>1180542.1250000019</v>
      </c>
    </row>
    <row r="113" spans="7:22" x14ac:dyDescent="0.25">
      <c r="G113" s="356" t="s">
        <v>1110</v>
      </c>
      <c r="H113" s="371">
        <v>2458000</v>
      </c>
      <c r="I113" s="347">
        <f>C60</f>
        <v>1312444</v>
      </c>
      <c r="J113" s="347">
        <f>D60</f>
        <v>0</v>
      </c>
      <c r="K113" s="215"/>
      <c r="M113" s="356" t="s">
        <v>1110</v>
      </c>
      <c r="N113" s="347">
        <f>+I113</f>
        <v>1312444</v>
      </c>
      <c r="O113" s="347">
        <f>790400+355156</f>
        <v>1145556</v>
      </c>
      <c r="P113" s="347">
        <f t="shared" ca="1" si="2"/>
        <v>0</v>
      </c>
      <c r="Q113" s="347">
        <f t="shared" ca="1" si="10"/>
        <v>2458000</v>
      </c>
      <c r="T113" s="356" t="s">
        <v>1110</v>
      </c>
      <c r="U113" s="347">
        <f ca="1">'Calcolcolo rendic 2014'!R43</f>
        <v>2458000</v>
      </c>
      <c r="V113" s="347">
        <f ca="1">'Calcolcolo rendic 2015'!R43</f>
        <v>492000</v>
      </c>
    </row>
    <row r="114" spans="7:22" ht="15.75" thickBot="1" x14ac:dyDescent="0.3">
      <c r="G114" s="356" t="s">
        <v>1111</v>
      </c>
      <c r="H114" s="371">
        <v>-790400</v>
      </c>
      <c r="I114" s="347"/>
      <c r="J114" s="347">
        <f>D61</f>
        <v>-791875</v>
      </c>
      <c r="K114" s="215"/>
      <c r="M114" s="356" t="s">
        <v>1111</v>
      </c>
      <c r="N114" s="347"/>
      <c r="O114" s="347">
        <f>-O113-O112</f>
        <v>-790400</v>
      </c>
      <c r="P114" s="347">
        <f t="shared" ca="1" si="2"/>
        <v>-0.48000000137835741</v>
      </c>
      <c r="Q114" s="347">
        <f t="shared" ca="1" si="10"/>
        <v>-790400.48000000138</v>
      </c>
      <c r="T114" s="356" t="s">
        <v>1111</v>
      </c>
      <c r="U114" s="347">
        <f ca="1">'Calcolcolo rendic 2014'!R44</f>
        <v>-790400.48000000138</v>
      </c>
      <c r="V114" s="347">
        <f ca="1">'Calcolcolo rendic 2015'!R44</f>
        <v>-1018031.1199999992</v>
      </c>
    </row>
    <row r="115" spans="7:22" ht="24" thickBot="1" x14ac:dyDescent="0.3">
      <c r="G115" s="359" t="s">
        <v>1112</v>
      </c>
      <c r="H115" s="375">
        <f>SUM(H111:H114)</f>
        <v>2134032</v>
      </c>
      <c r="I115" s="360">
        <f>SUM(I111:I114)</f>
        <v>2134032</v>
      </c>
      <c r="J115" s="360">
        <f>SUM(J111:J114)</f>
        <v>-871874</v>
      </c>
      <c r="K115" s="215"/>
      <c r="M115" s="359" t="s">
        <v>1112</v>
      </c>
      <c r="N115" s="360">
        <f>+I115</f>
        <v>2134032</v>
      </c>
      <c r="O115" s="360">
        <f>SUM(O111:O114)</f>
        <v>0</v>
      </c>
      <c r="P115" s="360">
        <f t="shared" ca="1" si="2"/>
        <v>-163424.98000000045</v>
      </c>
      <c r="Q115" s="360">
        <f t="shared" ca="1" si="10"/>
        <v>1970607.0199999996</v>
      </c>
      <c r="T115" s="359" t="s">
        <v>1112</v>
      </c>
      <c r="U115" s="360">
        <f ca="1">SUM(U111:U114)</f>
        <v>1970607.0199999996</v>
      </c>
      <c r="V115" s="360">
        <f ca="1">SUM(V111:V114)</f>
        <v>654511.00500000268</v>
      </c>
    </row>
    <row r="116" spans="7:22" s="386" customFormat="1" ht="15.75" thickBot="1" x14ac:dyDescent="0.3">
      <c r="G116" s="359" t="s">
        <v>1113</v>
      </c>
      <c r="H116" s="375">
        <f>H115+H108+H93</f>
        <v>767779.14999999921</v>
      </c>
      <c r="I116" s="360">
        <f>I115+I108+I93</f>
        <v>725712</v>
      </c>
      <c r="J116" s="360">
        <f>J115+J108+J93</f>
        <v>376151</v>
      </c>
      <c r="K116" s="384"/>
      <c r="L116" s="385"/>
      <c r="M116" s="359" t="s">
        <v>1113</v>
      </c>
      <c r="N116" s="360">
        <f>+I116</f>
        <v>725712</v>
      </c>
      <c r="O116" s="360">
        <v>0</v>
      </c>
      <c r="P116" s="360">
        <f t="shared" ca="1" si="2"/>
        <v>-4.0000020992010832E-2</v>
      </c>
      <c r="Q116" s="360">
        <f t="shared" ca="1" si="10"/>
        <v>725711.95999997901</v>
      </c>
      <c r="T116" s="359" t="s">
        <v>1113</v>
      </c>
      <c r="U116" s="360">
        <f ca="1">U115+U108+U93</f>
        <v>725711.95999997901</v>
      </c>
      <c r="V116" s="360">
        <f ca="1">V115+V108+V93</f>
        <v>-977469.01000001398</v>
      </c>
    </row>
    <row r="117" spans="7:22" s="386" customFormat="1" ht="15.75" thickBot="1" x14ac:dyDescent="0.3">
      <c r="G117" s="359" t="s">
        <v>1114</v>
      </c>
      <c r="H117" s="375">
        <f>H116+H78</f>
        <v>1311319.6099999992</v>
      </c>
      <c r="I117" s="360">
        <f>I116+I78</f>
        <v>1269252.46</v>
      </c>
      <c r="J117" s="360">
        <f>J116+J78</f>
        <v>543540</v>
      </c>
      <c r="K117" s="384"/>
      <c r="L117" s="385"/>
      <c r="M117" s="359" t="s">
        <v>1114</v>
      </c>
      <c r="N117" s="360">
        <f>+I117</f>
        <v>1269252.46</v>
      </c>
      <c r="O117" s="360">
        <v>0</v>
      </c>
      <c r="P117" s="360">
        <f t="shared" ca="1" si="2"/>
        <v>-4.0000020992010832E-2</v>
      </c>
      <c r="Q117" s="360">
        <f t="shared" ca="1" si="10"/>
        <v>1269252.419999979</v>
      </c>
      <c r="T117" s="359" t="s">
        <v>1114</v>
      </c>
      <c r="U117" s="360">
        <f ca="1">U116+U78</f>
        <v>1269252.419999979</v>
      </c>
      <c r="V117" s="360">
        <f ca="1">V116+V78</f>
        <v>291782.41999998596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41</vt:i4>
      </vt:variant>
    </vt:vector>
  </HeadingPairs>
  <TitlesOfParts>
    <vt:vector size="41" baseType="lpstr">
      <vt:lpstr>DATA</vt:lpstr>
      <vt:lpstr>situazione patrimoniale finanzi</vt:lpstr>
      <vt:lpstr>struttura patr riclassificata</vt:lpstr>
      <vt:lpstr>CE per natura</vt:lpstr>
      <vt:lpstr>Prospetto di ricon PN ifrs</vt:lpstr>
      <vt:lpstr>Prospetto di ricon PN ita</vt:lpstr>
      <vt:lpstr>Calcolcolo rendic 2015</vt:lpstr>
      <vt:lpstr>Calcolcolo rendic 2014</vt:lpstr>
      <vt:lpstr>Rendiconto</vt:lpstr>
      <vt:lpstr>Tabelle SP e CE appendice A</vt:lpstr>
      <vt:lpstr>Prospetto variazioni PN</vt:lpstr>
      <vt:lpstr>Indic eco patrimoniali</vt:lpstr>
      <vt:lpstr>PFN</vt:lpstr>
      <vt:lpstr>Attività immateriali</vt:lpstr>
      <vt:lpstr>imm. materiali</vt:lpstr>
      <vt:lpstr>Altre attività non correnti</vt:lpstr>
      <vt:lpstr>Altri crediti correnti</vt:lpstr>
      <vt:lpstr>cred comm</vt:lpstr>
      <vt:lpstr>rimanenze</vt:lpstr>
      <vt:lpstr>disponibilità liquide</vt:lpstr>
      <vt:lpstr>attività finanziarie</vt:lpstr>
      <vt:lpstr>Patrim netto</vt:lpstr>
      <vt:lpstr>Fondo rischi</vt:lpstr>
      <vt:lpstr>TFR</vt:lpstr>
      <vt:lpstr>passività finanz non correnti</vt:lpstr>
      <vt:lpstr>imposte differite</vt:lpstr>
      <vt:lpstr>Debiti commerciali</vt:lpstr>
      <vt:lpstr>passività finanz corren </vt:lpstr>
      <vt:lpstr>Altre pass correnti</vt:lpstr>
      <vt:lpstr>Debiti tributari</vt:lpstr>
      <vt:lpstr>cred tributari</vt:lpstr>
      <vt:lpstr>ricavi </vt:lpstr>
      <vt:lpstr>costi </vt:lpstr>
      <vt:lpstr>costi personale </vt:lpstr>
      <vt:lpstr>ammortamenti e svalutaz</vt:lpstr>
      <vt:lpstr>oneri diversi di gestione</vt:lpstr>
      <vt:lpstr>proventi e oneri finanziari</vt:lpstr>
      <vt:lpstr>imposte </vt:lpstr>
      <vt:lpstr>Prosp ricon RE</vt:lpstr>
      <vt:lpstr>Aliquote ammort</vt:lpstr>
      <vt:lpstr>dipendenti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Muraglia</dc:creator>
  <cp:lastModifiedBy>Utente Windows</cp:lastModifiedBy>
  <cp:lastPrinted>2016-10-04T09:25:59Z</cp:lastPrinted>
  <dcterms:created xsi:type="dcterms:W3CDTF">2016-06-27T15:06:15Z</dcterms:created>
  <dcterms:modified xsi:type="dcterms:W3CDTF">2016-10-04T10:11:59Z</dcterms:modified>
</cp:coreProperties>
</file>